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237" documentId="6_{A3AE9452-6914-43B8-8891-8520827F4541}" xr6:coauthVersionLast="47" xr6:coauthVersionMax="47" xr10:uidLastSave="{A5C423B4-90F7-5BC4-9292-9CDEB41925B8}"/>
  <bookViews>
    <workbookView xWindow="-108" yWindow="-108" windowWidth="23256" windowHeight="12456" xr2:uid="{ED23FE99-02CD-4BD9-B23B-51B331605F7B}"/>
  </bookViews>
  <sheets>
    <sheet name="Tribunal" sheetId="2" r:id="rId1"/>
    <sheet name="VaxCases" sheetId="4" r:id="rId2"/>
    <sheet name="Member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5" l="1"/>
  <c r="I4" i="5"/>
  <c r="K2" i="5"/>
  <c r="K3" i="5"/>
  <c r="L6" i="4"/>
  <c r="K6" i="4"/>
  <c r="D6" i="4"/>
  <c r="X8" i="2"/>
  <c r="M8" i="2"/>
  <c r="L8" i="2"/>
  <c r="V8" i="2"/>
  <c r="W8" i="2"/>
  <c r="U8" i="2"/>
  <c r="S8" i="2"/>
  <c r="R8" i="2"/>
  <c r="Q8" i="2"/>
  <c r="P8" i="2"/>
  <c r="O8" i="2"/>
  <c r="N8" i="2"/>
  <c r="I5" i="4"/>
  <c r="J5" i="4" s="1"/>
  <c r="R5" i="4"/>
  <c r="T5" i="4" s="1"/>
  <c r="S5" i="4"/>
  <c r="C7" i="2"/>
  <c r="J7" i="2"/>
  <c r="T7" i="2"/>
  <c r="V7" i="2" s="1"/>
  <c r="U7" i="2"/>
  <c r="E2" i="5"/>
  <c r="H2" i="5"/>
  <c r="N2" i="5"/>
  <c r="R2" i="5"/>
  <c r="S2" i="5" s="1"/>
  <c r="R3" i="5"/>
  <c r="S3" i="5" s="1"/>
  <c r="N3" i="5"/>
  <c r="A4" i="5"/>
  <c r="H3" i="5"/>
  <c r="G4" i="5"/>
  <c r="F4" i="5"/>
  <c r="D4" i="5"/>
  <c r="E4" i="5" s="1"/>
  <c r="C4" i="5"/>
  <c r="E3" i="5"/>
  <c r="Q4" i="5"/>
  <c r="P4" i="5"/>
  <c r="O4" i="5"/>
  <c r="M4" i="5"/>
  <c r="L4" i="5"/>
  <c r="N4" i="5" s="1"/>
  <c r="Q6" i="4"/>
  <c r="P6" i="4"/>
  <c r="O6" i="4"/>
  <c r="N6" i="4"/>
  <c r="S6" i="4" s="1"/>
  <c r="M6" i="4"/>
  <c r="R2" i="4"/>
  <c r="R3" i="4"/>
  <c r="T3" i="4" s="1"/>
  <c r="R4" i="4"/>
  <c r="I2" i="4"/>
  <c r="I3" i="4"/>
  <c r="J3" i="4" s="1"/>
  <c r="I4" i="4"/>
  <c r="J4" i="4" s="1"/>
  <c r="H6" i="4"/>
  <c r="G6" i="4"/>
  <c r="F6" i="4"/>
  <c r="E6" i="4"/>
  <c r="S4" i="4"/>
  <c r="S3" i="4"/>
  <c r="U2" i="2"/>
  <c r="U3" i="2"/>
  <c r="U4" i="2"/>
  <c r="U5" i="2"/>
  <c r="U6" i="2"/>
  <c r="T2" i="2"/>
  <c r="T3" i="2"/>
  <c r="X3" i="2" s="1"/>
  <c r="T4" i="2"/>
  <c r="X4" i="2" s="1"/>
  <c r="L2" i="4" s="1"/>
  <c r="T5" i="2"/>
  <c r="K3" i="4" s="1"/>
  <c r="T6" i="2"/>
  <c r="X6" i="2" s="1"/>
  <c r="L4" i="4" s="1"/>
  <c r="I8" i="2"/>
  <c r="H8" i="2"/>
  <c r="G8" i="2"/>
  <c r="F8" i="2"/>
  <c r="E8" i="2"/>
  <c r="J6" i="2"/>
  <c r="K6" i="2" s="1"/>
  <c r="C6" i="2"/>
  <c r="J5" i="2"/>
  <c r="K5" i="2" s="1"/>
  <c r="C5" i="2"/>
  <c r="J4" i="2"/>
  <c r="M4" i="2" s="1"/>
  <c r="D2" i="4" s="1"/>
  <c r="C4" i="2"/>
  <c r="J3" i="2"/>
  <c r="K3" i="2" s="1"/>
  <c r="C3" i="2"/>
  <c r="J2" i="2"/>
  <c r="M2" i="2" s="1"/>
  <c r="C2" i="2"/>
  <c r="K4" i="5" l="1"/>
  <c r="H4" i="5"/>
  <c r="C8" i="2"/>
  <c r="B7" i="2"/>
  <c r="B5" i="4" s="1"/>
  <c r="C4" i="4"/>
  <c r="C5" i="4"/>
  <c r="K5" i="4"/>
  <c r="X7" i="2"/>
  <c r="L5" i="4" s="1"/>
  <c r="M7" i="2"/>
  <c r="D5" i="4" s="1"/>
  <c r="K7" i="2"/>
  <c r="X5" i="2"/>
  <c r="L3" i="4" s="1"/>
  <c r="K4" i="4"/>
  <c r="V5" i="2"/>
  <c r="C2" i="4"/>
  <c r="K2" i="4"/>
  <c r="C3" i="4"/>
  <c r="R4" i="5"/>
  <c r="S4" i="5" s="1"/>
  <c r="T2" i="4"/>
  <c r="T4" i="4"/>
  <c r="R6" i="4"/>
  <c r="T6" i="4" s="1"/>
  <c r="J2" i="4"/>
  <c r="I6" i="4"/>
  <c r="J6" i="4" s="1"/>
  <c r="T8" i="2"/>
  <c r="V4" i="2"/>
  <c r="V3" i="2"/>
  <c r="V6" i="2"/>
  <c r="V2" i="2"/>
  <c r="X2" i="2"/>
  <c r="M6" i="2"/>
  <c r="D4" i="4" s="1"/>
  <c r="K2" i="2"/>
  <c r="B2" i="2"/>
  <c r="D2" i="2" s="1"/>
  <c r="M3" i="2"/>
  <c r="B6" i="2"/>
  <c r="B5" i="2"/>
  <c r="J8" i="2"/>
  <c r="K8" i="2" s="1"/>
  <c r="B4" i="2"/>
  <c r="K4" i="2"/>
  <c r="M5" i="2"/>
  <c r="D3" i="4" s="1"/>
  <c r="B3" i="2"/>
  <c r="C6" i="4" l="1"/>
  <c r="D7" i="2"/>
  <c r="D5" i="2"/>
  <c r="B3" i="4"/>
  <c r="D6" i="2"/>
  <c r="B4" i="4"/>
  <c r="D4" i="2"/>
  <c r="B2" i="4"/>
  <c r="B8" i="2"/>
  <c r="D8" i="2" s="1"/>
  <c r="D3" i="2"/>
  <c r="B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DA02296B-D5AF-4C2A-BA82-7C935C0EDBE8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=[@[TotalCases-GD]]+[@[TotalCases-AD]]</t>
        </r>
      </text>
    </comment>
    <comment ref="C1" authorId="0" shapeId="0" xr:uid="{E36C1A61-C552-4BD1-B65B-D594A2F1E612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=[@[VaxCases-GD]]+[@[VaxCases-AD]]</t>
        </r>
      </text>
    </comment>
    <comment ref="D1" authorId="0" shapeId="0" xr:uid="{609DEF1F-2012-4792-8257-51DD332FD8DC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=[@[VaxCases-SST]]/[@[TotalCases-SST]]</t>
        </r>
      </text>
    </comment>
    <comment ref="E1" authorId="0" shapeId="0" xr:uid="{FAF69FEE-841B-466B-B46C-BD8A7C691798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Allowed
Allowed with Modifications</t>
        </r>
      </text>
    </comment>
    <comment ref="F1" authorId="0" shapeId="0" xr:uid="{E58A554D-4926-4E0D-87DD-4ACF85C629D8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Dismissed
Dismissed with Modifications</t>
        </r>
      </text>
    </comment>
    <comment ref="G1" authorId="0" shapeId="0" xr:uid="{712CDDC6-3D4D-4259-A1BC-11E6E1FF67AE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Allowed in Part
Dismissed + Allowed in Part</t>
        </r>
      </text>
    </comment>
    <comment ref="H1" authorId="0" shapeId="0" xr:uid="{BB48E5EC-63D7-4855-9D7A-7D5E1A71B89C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Summarily Dismissed</t>
        </r>
      </text>
    </comment>
    <comment ref="I1" authorId="0" shapeId="0" xr:uid="{12011302-4734-47BC-B84B-9142AA999545}">
      <text>
        <r>
          <rPr>
            <b/>
            <sz val="9"/>
            <color indexed="81"/>
            <rFont val="Tahoma"/>
            <family val="2"/>
          </rPr>
          <t>(Decision = 7 Choices):</t>
        </r>
        <r>
          <rPr>
            <sz val="9"/>
            <color indexed="81"/>
            <rFont val="Tahoma"/>
            <family val="2"/>
          </rPr>
          <t xml:space="preserve">
Administrative Decision
Rescind/Ammend Granted
Rescind/Ammend Refused
Time Extension Granted
Time Extension Refused
Interlocutory Order
(N/A)</t>
        </r>
      </text>
    </comment>
    <comment ref="J1" authorId="0" shapeId="0" xr:uid="{80B9BBCD-9D28-4D91-8D1A-8A053C32E741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=SUM(Tribunal[@[AllowedAppeals-GD]:[OtherResults-GD]])</t>
        </r>
      </text>
    </comment>
    <comment ref="K1" authorId="0" shapeId="0" xr:uid="{18866186-F8DD-439D-86D2-ABD639B64271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=[@[AllowedAppeals-GD]]/[@[TotalCases-GD]]</t>
        </r>
      </text>
    </comment>
    <comment ref="L1" authorId="0" shapeId="0" xr:uid="{8684DCD0-3E8F-48BF-BE05-CDDC3A956161}">
      <text>
        <r>
          <rPr>
            <b/>
            <sz val="9"/>
            <color indexed="81"/>
            <rFont val="Tahoma"/>
            <family val="2"/>
          </rPr>
          <t>Search Keywords:</t>
        </r>
        <r>
          <rPr>
            <sz val="9"/>
            <color indexed="81"/>
            <rFont val="Tahoma"/>
            <family val="2"/>
          </rPr>
          <t xml:space="preserve">
Vaccine OR Vaccination OR Vaccinated</t>
        </r>
      </text>
    </comment>
    <comment ref="M1" authorId="0" shapeId="0" xr:uid="{1D9A7141-3C6D-478D-AF6A-6BC0A0C2762E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=[@[VaxCases-GD]]/[@[TotalCases-GD]]</t>
        </r>
      </text>
    </comment>
    <comment ref="N1" authorId="0" shapeId="0" xr:uid="{59773C9C-8F09-4072-B848-434F7FD04B8D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Granted</t>
        </r>
      </text>
    </comment>
    <comment ref="O1" authorId="0" shapeId="0" xr:uid="{954D2E2D-37A9-4C4C-AE88-C03B4654EBDD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Refused</t>
        </r>
      </text>
    </comment>
    <comment ref="P1" authorId="0" shapeId="0" xr:uid="{ED3DD4FC-54F3-4BC4-9DAE-25907171A2CF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Allowed
Allowed with Modifications</t>
        </r>
      </text>
    </comment>
    <comment ref="Q1" authorId="0" shapeId="0" xr:uid="{9CFE46B6-2F9B-4542-9E39-B164EF7C42BF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Dismissed
Dismissed with Modifications</t>
        </r>
      </text>
    </comment>
    <comment ref="R1" authorId="0" shapeId="0" xr:uid="{04658213-1AD9-475F-BA84-B0352CBFDDB2}">
      <text>
        <r>
          <rPr>
            <b/>
            <sz val="9"/>
            <color indexed="81"/>
            <rFont val="Tahoma"/>
            <charset val="1"/>
          </rPr>
          <t>(Decision = 2 Choices):</t>
        </r>
        <r>
          <rPr>
            <sz val="9"/>
            <color indexed="81"/>
            <rFont val="Tahoma"/>
            <charset val="1"/>
          </rPr>
          <t xml:space="preserve">
Allowed in Part
Dismissed + Allowed in Part</t>
        </r>
      </text>
    </comment>
    <comment ref="S1" authorId="0" shapeId="0" xr:uid="{D078127C-B484-4E0A-96AF-E26A9135D8D2}">
      <text>
        <r>
          <rPr>
            <b/>
            <sz val="9"/>
            <color indexed="81"/>
            <rFont val="Tahoma"/>
            <family val="2"/>
          </rPr>
          <t>(Decision = 7 Choiced):</t>
        </r>
        <r>
          <rPr>
            <sz val="9"/>
            <color indexed="81"/>
            <rFont val="Tahoma"/>
            <family val="2"/>
          </rPr>
          <t xml:space="preserve">
Administrative Decision
Rescind/Ammend Granted
Rescind/Ammend Refused
Time Extension Granted
Time Extension Refused
Interlocutory Order
(N/A)</t>
        </r>
      </text>
    </comment>
    <comment ref="T1" authorId="0" shapeId="0" xr:uid="{C0D20600-231F-466D-A843-328F8A3E7F11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=SUM(Tribunal[@[GrantedLeave-AD]:[OtherResults-AD]])</t>
        </r>
      </text>
    </comment>
    <comment ref="U1" authorId="0" shapeId="0" xr:uid="{5E53F671-F1AD-4821-96DB-38EF6252F75C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=[@[GrantedLeave-AD]]/[@[RefusedLeave-AD]]</t>
        </r>
      </text>
    </comment>
    <comment ref="V1" authorId="0" shapeId="0" xr:uid="{C1DE8B58-9972-45D8-8864-E1EEE6DAD44F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=[@[AllowedAppeal-AD]]/[@[TotalCases-AD]]</t>
        </r>
      </text>
    </comment>
    <comment ref="W1" authorId="0" shapeId="0" xr:uid="{A1095C46-9999-4D49-8512-8AA4180B3B01}">
      <text>
        <r>
          <rPr>
            <b/>
            <sz val="9"/>
            <color indexed="81"/>
            <rFont val="Tahoma"/>
            <family val="2"/>
          </rPr>
          <t>Search Keywords:</t>
        </r>
        <r>
          <rPr>
            <sz val="9"/>
            <color indexed="81"/>
            <rFont val="Tahoma"/>
            <family val="2"/>
          </rPr>
          <t xml:space="preserve">
Vaccine OR Vaccination OR Vaccinated</t>
        </r>
      </text>
    </comment>
    <comment ref="X1" authorId="0" shapeId="0" xr:uid="{B497DBE5-4256-47A2-8A45-7BC337B5B0FD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=[@[VaxCases-AD]]/[@[TotalCases-AD]]</t>
        </r>
      </text>
    </comment>
    <comment ref="D8" authorId="0" shapeId="0" xr:uid="{93CF374D-F93E-46DB-99C0-F7EB2B37461E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=Tribunal[[#Totals],[VaxCases-SST]]/Tribunal[[#Totals],[TotalCases-SST]]</t>
        </r>
      </text>
    </comment>
    <comment ref="K8" authorId="0" shapeId="0" xr:uid="{F04A704C-8D7B-4D02-AEFB-BFE36FACF1EA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=Tribunal[[#Totals],[AllowedAppeals-GD]]/Tribunal[[#Totals],[TotalCases-GD]]</t>
        </r>
      </text>
    </comment>
    <comment ref="M8" authorId="0" shapeId="0" xr:uid="{013B4689-77D3-4EC5-B7EF-C8A04FF61C46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=Tribunal[[#Totals],[VaxCases-GD]]/Tribunal[[#Totals],[TotalCases-GD]]</t>
        </r>
      </text>
    </comment>
    <comment ref="U8" authorId="0" shapeId="0" xr:uid="{8E036647-943B-4081-9EDF-547AB853B278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=Tribunal[[#Totals],[GrantedLeave-AD]]/Tribunal[[#Totals],[RefusedLeave-AD]]</t>
        </r>
      </text>
    </comment>
    <comment ref="V8" authorId="0" shapeId="0" xr:uid="{2DC2C8AD-360E-408D-8A0C-3CC6935B1D50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=Tribunal[[#Totals],[AllowedAppeals-AD]]/Tribunal[[#Totals],[TotalCases-AD]]</t>
        </r>
      </text>
    </comment>
    <comment ref="X8" authorId="0" shapeId="0" xr:uid="{CEA0DBC1-7C87-4289-A4AB-6557355FAD7F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=Tribunal[[#Totals],[VaxCases-AD]]/Tribunal[[#Totals],[TotalCases-AD]]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3F2263FE-0D62-4E44-89C0-0F39B2E5E457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=[@[TotalCases-GD]]+[@[TotalCases-SST]]</t>
        </r>
      </text>
    </comment>
    <comment ref="C1" authorId="0" shapeId="0" xr:uid="{BCF0E10B-04E1-4A4A-976C-74600AB45D06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=XLOOKUP([@Year],Tribunal[Year],Tribunal[TotalCases-GD])</t>
        </r>
      </text>
    </comment>
    <comment ref="D1" authorId="0" shapeId="0" xr:uid="{12170169-AAA6-40EA-B5FE-475463CD4412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=XLOOKUP([@Year],Tribunal[Year],Tribunal[VaxRate-GD])</t>
        </r>
      </text>
    </comment>
    <comment ref="E1" authorId="0" shapeId="0" xr:uid="{15625241-57B8-4B42-85CB-AEBD9AEF313E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Allowed
Allowed with Modifications</t>
        </r>
      </text>
    </comment>
    <comment ref="F1" authorId="0" shapeId="0" xr:uid="{C01D2C31-B873-41A8-AD77-58DFA2BFC694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Dismissed
Dismissed with Modifications</t>
        </r>
      </text>
    </comment>
    <comment ref="G1" authorId="0" shapeId="0" xr:uid="{F7470B5C-D4E5-4702-A4C7-779D1DDA4D32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Allowed in Part
Dismissed + Allowed in Part</t>
        </r>
      </text>
    </comment>
    <comment ref="H1" authorId="0" shapeId="0" xr:uid="{33A39936-2C79-4199-9C2E-7D707854B613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Summarily Dismissed</t>
        </r>
      </text>
    </comment>
    <comment ref="I1" authorId="0" shapeId="0" xr:uid="{E0376F0B-51C5-45E0-A0A2-EF0808BB7601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=SUM(VaxCases[@[AllowedAppeals-GD]:[SummaryDismissals-GD]])</t>
        </r>
      </text>
    </comment>
    <comment ref="J1" authorId="0" shapeId="0" xr:uid="{6A7ABA7A-12B1-4B26-86A9-F5970A5C8670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=[@[AllowedAppeals-GD]]/[@[TotalCases-GD]]</t>
        </r>
      </text>
    </comment>
    <comment ref="K1" authorId="0" shapeId="0" xr:uid="{04A11D31-9604-4F7A-846E-86DC0773949B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=XLOOKUP([@Year],Tribunal[Year],Tribunal[TotalCases-AD])</t>
        </r>
      </text>
    </comment>
    <comment ref="L1" authorId="0" shapeId="0" xr:uid="{5713811E-91FC-460F-8079-467AC3B8F633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=XLOOKUP([@Year],Tribunal[Year],Tribunal[VaxRate-AD])</t>
        </r>
      </text>
    </comment>
    <comment ref="M1" authorId="0" shapeId="0" xr:uid="{DA62384B-7102-4FAD-986D-A1EA97DC778B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Granted</t>
        </r>
      </text>
    </comment>
    <comment ref="N1" authorId="0" shapeId="0" xr:uid="{5C1B6583-F89E-4470-9322-47858CEF34D8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Refused</t>
        </r>
      </text>
    </comment>
    <comment ref="O1" authorId="0" shapeId="0" xr:uid="{AE19C2DB-7A3F-4565-A570-E69AF06D65C9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Allowed
Allowed with Modifications</t>
        </r>
      </text>
    </comment>
    <comment ref="P1" authorId="0" shapeId="0" xr:uid="{C8E051E0-9600-4529-A129-547257343DDF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Dismissed
Dismissed with Modifications</t>
        </r>
      </text>
    </comment>
    <comment ref="Q1" authorId="0" shapeId="0" xr:uid="{EFFCCCA4-39EF-48B7-8D93-AD4CE734CB08}">
      <text>
        <r>
          <rPr>
            <b/>
            <sz val="9"/>
            <color indexed="81"/>
            <rFont val="Tahoma"/>
            <charset val="1"/>
          </rPr>
          <t>(Decision = 2 Choices):</t>
        </r>
        <r>
          <rPr>
            <sz val="9"/>
            <color indexed="81"/>
            <rFont val="Tahoma"/>
            <charset val="1"/>
          </rPr>
          <t xml:space="preserve">
Allowed in Part
Dismissed + Allowed in Part</t>
        </r>
      </text>
    </comment>
    <comment ref="R1" authorId="0" shapeId="0" xr:uid="{1048C9AE-09A1-4941-B253-7A8F75FF5591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=SUM(VaxCases[@[GrantedLeave-AD]:[PartialAppeals-AD]])</t>
        </r>
      </text>
    </comment>
    <comment ref="S1" authorId="0" shapeId="0" xr:uid="{DFB782B7-B1B7-4234-B8F0-AEC59F422AAC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=[@[GrantedLeave-AD]]/[@[RefusedLeave-AD]]</t>
        </r>
      </text>
    </comment>
    <comment ref="T1" authorId="0" shapeId="0" xr:uid="{DDA6052D-2DE1-49BF-A27A-95167D0AFDC1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=[@[AllowedAppeal-AD]]/[@[TotalCases-AD]]</t>
        </r>
      </text>
    </comment>
    <comment ref="D6" authorId="0" shapeId="0" xr:uid="{F4EAB8AB-B8B2-42F1-A60C-4F1A35CB7009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=XLOOKUP(VaxCases[[#Totals],[Year]],Tribunal[[#Totals],[Year]],Tribunal[[#Totals],[VaxRate-GD]])</t>
        </r>
      </text>
    </comment>
    <comment ref="J6" authorId="0" shapeId="0" xr:uid="{393AF627-411F-4FDA-B37A-17063A4D0BFD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=VaxCases[[#Totals],[AllowedAppeals-GD]]/VaxCases[[#Totals],[TotalCases-GD]]</t>
        </r>
      </text>
    </comment>
    <comment ref="L6" authorId="0" shapeId="0" xr:uid="{5319FC97-9059-46F0-ACAE-F8E8219726B4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=XLOOKUP(VaxCases[[#Totals],[Year]],Tribunal[[#Totals],[Year]],Tribunal[[#Totals],[VaxRate-AD]])</t>
        </r>
      </text>
    </comment>
    <comment ref="S6" authorId="0" shapeId="0" xr:uid="{E2B79754-98FA-438E-B860-5F888A27E9F6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=VaxCases[[#Totals],[GrantedLeave-AD]]/VaxCases[[#Totals],[RefusedLeave-AD]]</t>
        </r>
      </text>
    </comment>
    <comment ref="T6" authorId="0" shapeId="0" xr:uid="{15F85C75-8354-425D-ACEA-9586144043A6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=VaxCases[[#Totals],[AllowedAppeals-AD]]/VaxCases[[#Totals],[TotalCases-AD]]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6A2B6DE5-B5D3-46BA-B7BB-0EBE319EAF7D}">
      <text>
        <r>
          <rPr>
            <b/>
            <sz val="9"/>
            <color indexed="81"/>
            <rFont val="Tahoma"/>
            <family val="2"/>
          </rPr>
          <t>Search Criteria:</t>
        </r>
        <r>
          <rPr>
            <sz val="9"/>
            <color indexed="81"/>
            <rFont val="Tahoma"/>
            <family val="2"/>
          </rPr>
          <t xml:space="preserve">
All Decisions by Member in Year (=2022)</t>
        </r>
      </text>
    </comment>
    <comment ref="D1" authorId="0" shapeId="0" xr:uid="{A5872913-8805-4BE1-89FC-8D5291D8EF70}">
      <text>
        <r>
          <rPr>
            <b/>
            <sz val="9"/>
            <color indexed="81"/>
            <rFont val="Tahoma"/>
            <family val="2"/>
          </rPr>
          <t>Search Keywords:</t>
        </r>
        <r>
          <rPr>
            <sz val="9"/>
            <color indexed="81"/>
            <rFont val="Tahoma"/>
            <family val="2"/>
          </rPr>
          <t xml:space="preserve">
Vaccine OR Vaccination OR Vaccinated</t>
        </r>
      </text>
    </comment>
    <comment ref="E1" authorId="0" shapeId="0" xr:uid="{482E495B-DC8E-45E5-92AD-C40E49C7E9A3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=[@[2022-VaxCases]]/[@[2022-Cases]]</t>
        </r>
      </text>
    </comment>
    <comment ref="F1" authorId="0" shapeId="0" xr:uid="{0A18E67B-7BE4-4A97-97B6-A9ACEDF6B4ED}">
      <text>
        <r>
          <rPr>
            <b/>
            <sz val="9"/>
            <color indexed="81"/>
            <rFont val="Tahoma"/>
            <family val="2"/>
          </rPr>
          <t>Search Criteria:</t>
        </r>
        <r>
          <rPr>
            <sz val="9"/>
            <color indexed="81"/>
            <rFont val="Tahoma"/>
            <family val="2"/>
          </rPr>
          <t xml:space="preserve">
All Decisions by Member in Year (=2023)</t>
        </r>
      </text>
    </comment>
    <comment ref="G1" authorId="0" shapeId="0" xr:uid="{E8F6FC33-62E3-49FC-B0D5-A66C0A354660}">
      <text>
        <r>
          <rPr>
            <b/>
            <sz val="9"/>
            <color indexed="81"/>
            <rFont val="Tahoma"/>
            <family val="2"/>
          </rPr>
          <t>Search Keywords:</t>
        </r>
        <r>
          <rPr>
            <sz val="9"/>
            <color indexed="81"/>
            <rFont val="Tahoma"/>
            <family val="2"/>
          </rPr>
          <t xml:space="preserve">
Vaccine OR Vaccination OR Vaccinated</t>
        </r>
      </text>
    </comment>
    <comment ref="H1" authorId="0" shapeId="0" xr:uid="{7724FE75-14C4-499D-A676-5ED484310F30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=[@[2023-VaxCases]]/[@[2023-Cases]]</t>
        </r>
      </text>
    </comment>
    <comment ref="L1" authorId="0" shapeId="0" xr:uid="{701B8E4C-91E0-47A2-B683-C793E7462B71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Granted</t>
        </r>
      </text>
    </comment>
    <comment ref="M1" authorId="0" shapeId="0" xr:uid="{534DF87E-7D91-4226-A135-13524F5E19D0}">
      <text>
        <r>
          <rPr>
            <b/>
            <sz val="9"/>
            <color indexed="81"/>
            <rFont val="Tahoma"/>
            <family val="2"/>
          </rPr>
          <t>(Decision = 1 Choice):</t>
        </r>
        <r>
          <rPr>
            <sz val="9"/>
            <color indexed="81"/>
            <rFont val="Tahoma"/>
            <family val="2"/>
          </rPr>
          <t xml:space="preserve">
Leave Appeal Refused</t>
        </r>
      </text>
    </comment>
    <comment ref="N1" authorId="0" shapeId="0" xr:uid="{264721D0-53F4-45CC-81CF-648B6D76A179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=IF([@RefusedLeave]&gt;0,[@GrantedLeave]/[@RefusedLeave],0)</t>
        </r>
      </text>
    </comment>
    <comment ref="O1" authorId="0" shapeId="0" xr:uid="{B125D901-2D98-4F3F-973B-78603B1A9D55}">
      <text>
        <r>
          <rPr>
            <b/>
            <sz val="9"/>
            <color indexed="81"/>
            <rFont val="Tahoma"/>
            <family val="2"/>
          </rPr>
          <t>(Decision = 2 Choices):</t>
        </r>
        <r>
          <rPr>
            <sz val="9"/>
            <color indexed="81"/>
            <rFont val="Tahoma"/>
            <family val="2"/>
          </rPr>
          <t xml:space="preserve">
Appeal Allowed
Allowed with Modifications</t>
        </r>
      </text>
    </comment>
    <comment ref="P1" authorId="0" shapeId="0" xr:uid="{D34FE49F-1F68-42E6-8019-8D80C70CF440}">
      <text>
        <r>
          <rPr>
            <b/>
            <sz val="9"/>
            <color indexed="81"/>
            <rFont val="Tahoma"/>
            <family val="2"/>
          </rPr>
          <t>(Decision = 3 Choices):</t>
        </r>
        <r>
          <rPr>
            <sz val="9"/>
            <color indexed="81"/>
            <rFont val="Tahoma"/>
            <family val="2"/>
          </rPr>
          <t xml:space="preserve">
Appeal Dismissed
Dismissed with Modifications
Summarily Dismissed</t>
        </r>
      </text>
    </comment>
    <comment ref="Q1" authorId="0" shapeId="0" xr:uid="{B2B3A9C2-AE50-437E-A067-6EFC6F8E2C09}">
      <text>
        <r>
          <rPr>
            <b/>
            <sz val="9"/>
            <color indexed="81"/>
            <rFont val="Tahoma"/>
            <charset val="1"/>
          </rPr>
          <t>(Decision = 2 Choices):</t>
        </r>
        <r>
          <rPr>
            <sz val="9"/>
            <color indexed="81"/>
            <rFont val="Tahoma"/>
            <charset val="1"/>
          </rPr>
          <t xml:space="preserve">
Allowed in Part
Dismissed + Allowed in Part</t>
        </r>
      </text>
    </comment>
    <comment ref="R1" authorId="0" shapeId="0" xr:uid="{38A0C220-F893-4745-B70D-8702C4EBCB81}">
      <text>
        <r>
          <rPr>
            <b/>
            <sz val="9"/>
            <color indexed="81"/>
            <rFont val="Tahoma"/>
            <charset val="1"/>
          </rPr>
          <t>Formula:</t>
        </r>
        <r>
          <rPr>
            <sz val="9"/>
            <color indexed="81"/>
            <rFont val="Tahoma"/>
            <charset val="1"/>
          </rPr>
          <t xml:space="preserve">
=SUM(Members[@[AllowedAppeals]:[PartialAppeals]])</t>
        </r>
      </text>
    </comment>
    <comment ref="S1" authorId="0" shapeId="0" xr:uid="{5FC8DAC9-4F6F-4C90-A7BB-16A327102227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=[@[AllowedAppeal-AD]]/[@[TotalCases-AD]]</t>
        </r>
      </text>
    </comment>
    <comment ref="E4" authorId="0" shapeId="0" xr:uid="{5F82C136-E81D-47B6-9395-D7A1D2021B7E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=Members[[#Totals],[2022-VaxCases]]/Members[[#Totals],[2022-Cases]]</t>
        </r>
      </text>
    </comment>
    <comment ref="H4" authorId="0" shapeId="0" xr:uid="{C231BBB5-9667-4106-818E-5EDD47D8FAA6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=Members[[#Totals],[2023-VaxCases]]/Members[[#Totals],[2023-Cases]]</t>
        </r>
      </text>
    </comment>
    <comment ref="K4" authorId="0" shapeId="0" xr:uid="{1565E179-E538-4615-8DE0-F6E0A4B49813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=Members[[#Totals],[2024-VaxCases]]/Members[[#Totals],[2024-Cases]]</t>
        </r>
      </text>
    </comment>
    <comment ref="N4" authorId="0" shapeId="0" xr:uid="{D997858F-14C6-44DC-AA3B-09127A9AAE73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=Members[[#Totals],[GrantedLeave]]/Members[[#Totals],[RefusedLeave]]</t>
        </r>
      </text>
    </comment>
    <comment ref="S4" authorId="0" shapeId="0" xr:uid="{F56F64BA-A37A-462B-ABB1-569CD3B0D965}">
      <text>
        <r>
          <rPr>
            <b/>
            <sz val="9"/>
            <color indexed="81"/>
            <rFont val="Tahoma"/>
            <family val="2"/>
          </rPr>
          <t>Formula:</t>
        </r>
        <r>
          <rPr>
            <sz val="9"/>
            <color indexed="81"/>
            <rFont val="Tahoma"/>
            <family val="2"/>
          </rPr>
          <t xml:space="preserve">
=Members[[#Totals],[AllowedAppeals]]/Members[[#Totals],[TotalAppeals]]</t>
        </r>
      </text>
    </comment>
  </commentList>
</comments>
</file>

<file path=xl/sharedStrings.xml><?xml version="1.0" encoding="utf-8"?>
<sst xmlns="http://schemas.openxmlformats.org/spreadsheetml/2006/main" count="69" uniqueCount="51">
  <si>
    <t>Year</t>
  </si>
  <si>
    <t>Total</t>
  </si>
  <si>
    <t>TotalCases-GD</t>
  </si>
  <si>
    <t>SummaryDismissals-GD</t>
  </si>
  <si>
    <t>OtherResults-GD</t>
  </si>
  <si>
    <t>AllowedAppeals-GD</t>
  </si>
  <si>
    <t>DismissedAppeals-GD</t>
  </si>
  <si>
    <t>SuccessRate-GD</t>
  </si>
  <si>
    <t>VaxCases-GD</t>
  </si>
  <si>
    <t>VaxRate-GD</t>
  </si>
  <si>
    <t>TotalCases-SST</t>
  </si>
  <si>
    <t>TotalCases-AD</t>
  </si>
  <si>
    <t>GrantedLeave-AD</t>
  </si>
  <si>
    <t>RefusedLeave-AD</t>
  </si>
  <si>
    <t>OtherResults-AD</t>
  </si>
  <si>
    <t>SuccessRate-AD</t>
  </si>
  <si>
    <t>VaxCases-AD</t>
  </si>
  <si>
    <t>VaxRate-AD</t>
  </si>
  <si>
    <t>PartialAppeals-GD</t>
  </si>
  <si>
    <t>VaxCases-SST</t>
  </si>
  <si>
    <t>VaxRate-SST</t>
  </si>
  <si>
    <t>PartialAppeals-AD</t>
  </si>
  <si>
    <t>LeaveRatio-AD</t>
  </si>
  <si>
    <t>AllowedAppeals-AD</t>
  </si>
  <si>
    <t>DismissedAppeals-AD</t>
  </si>
  <si>
    <t>SST-TotalCases</t>
  </si>
  <si>
    <t>GD-TotalCases</t>
  </si>
  <si>
    <t>AD-TotalCases</t>
  </si>
  <si>
    <t>Member</t>
  </si>
  <si>
    <t>Pierre LaFontaine</t>
  </si>
  <si>
    <t>2022-Cases</t>
  </si>
  <si>
    <t>2023-Cases</t>
  </si>
  <si>
    <t>2022-VaxCases</t>
  </si>
  <si>
    <t>2022-VaxRate</t>
  </si>
  <si>
    <t>2023-VaxCases</t>
  </si>
  <si>
    <t>2023-VaxRate</t>
  </si>
  <si>
    <t>Division</t>
  </si>
  <si>
    <t>AD (Appeals)</t>
  </si>
  <si>
    <t>GrantedLeave</t>
  </si>
  <si>
    <t>RefusedLeave</t>
  </si>
  <si>
    <t>AllowedAppeals</t>
  </si>
  <si>
    <t>DismissedAppeals</t>
  </si>
  <si>
    <t>PartialAppeals</t>
  </si>
  <si>
    <t>LeaveRatio</t>
  </si>
  <si>
    <t>SuccessRate</t>
  </si>
  <si>
    <t>TotalAppeals</t>
  </si>
  <si>
    <t>Elizabeth Usprich</t>
  </si>
  <si>
    <t>GD (General)</t>
  </si>
  <si>
    <t>2024-VaxCases</t>
  </si>
  <si>
    <t>2024-Cases</t>
  </si>
  <si>
    <t>2024-VaxRate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</si>
</sst>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0" xfId="0" applyNumberFormat="1"/>
    <xf numFmtId="164" fontId="0" fillId="0" borderId="5" xfId="0" applyNumberFormat="1" applyBorder="1"/>
    <xf numFmtId="164" fontId="0" fillId="0" borderId="1" xfId="0" applyNumberFormat="1" applyBorder="1"/>
    <xf numFmtId="0" fontId="0" fillId="0" borderId="5" xfId="0" applyBorder="1"/>
    <xf numFmtId="0" fontId="1" fillId="0" borderId="4" xfId="0" applyFont="1" applyBorder="1"/>
    <xf numFmtId="0" fontId="1" fillId="0" borderId="2" xfId="0" applyFont="1" applyBorder="1"/>
    <xf numFmtId="0" fontId="1" fillId="0" borderId="1" xfId="0" applyFont="1" applyBorder="1"/>
    <xf numFmtId="164" fontId="1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0" fontId="1" fillId="0" borderId="3" xfId="0" applyFont="1" applyBorder="1"/>
    <xf numFmtId="164" fontId="1" fillId="0" borderId="1" xfId="0" applyNumberFormat="1" applyFont="1" applyBorder="1"/>
    <xf numFmtId="1" fontId="0" fillId="0" borderId="0" xfId="0" applyNumberFormat="1"/>
    <xf numFmtId="1" fontId="1" fillId="0" borderId="0" xfId="0" applyNumberFormat="1" applyFont="1"/>
    <xf numFmtId="0" fontId="1" fillId="0" borderId="5" xfId="0" applyFont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3" borderId="0" xfId="0" applyFill="1"/>
    <xf numFmtId="0" fontId="0" fillId="3" borderId="4" xfId="0" applyFill="1" applyBorder="1"/>
    <xf numFmtId="1" fontId="1" fillId="0" borderId="2" xfId="0" applyNumberFormat="1" applyFont="1" applyBorder="1"/>
    <xf numFmtId="0" fontId="1" fillId="3" borderId="2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1" fontId="1" fillId="3" borderId="0" xfId="0" applyNumberFormat="1" applyFont="1" applyFill="1"/>
    <xf numFmtId="1" fontId="1" fillId="3" borderId="5" xfId="0" applyNumberFormat="1" applyFont="1" applyFill="1" applyBorder="1"/>
    <xf numFmtId="1" fontId="0" fillId="0" borderId="5" xfId="0" applyNumberFormat="1" applyBorder="1"/>
  </cellXfs>
  <cellStyles count="1">
    <cellStyle name="Normal" xfId="0" builtinId="0"/>
  </cellStyles>
  <dxfs count="9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/>
      </font>
      <numFmt numFmtId="164" formatCode="0.0%"/>
    </dxf>
    <dxf>
      <border diagonalUp="0" diagonalDown="0" outline="0">
        <left style="thin">
          <color auto="1"/>
        </left>
        <right/>
        <top/>
        <bottom/>
      </border>
    </dxf>
    <dxf>
      <font>
        <b/>
      </font>
      <numFmt numFmtId="0" formatCode="General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border diagonalUp="0" diagonalDown="0" outline="0">
        <left style="thin">
          <color auto="1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auto="1"/>
        </left>
        <right/>
        <top/>
        <bottom/>
      </border>
    </dxf>
    <dxf>
      <numFmt numFmtId="164" formatCode="0.0%"/>
    </dxf>
    <dxf>
      <numFmt numFmtId="164" formatCode="0.0%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  <border outline="0">
        <left style="thin">
          <color auto="1"/>
        </left>
      </border>
    </dxf>
    <dxf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/>
        <horizontal/>
      </border>
    </dxf>
    <dxf>
      <numFmt numFmtId="1" formatCode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numFmt numFmtId="1" formatCode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9" tint="0.79998168889431442"/>
        </patternFill>
      </fill>
    </dxf>
    <dxf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right style="medium">
          <color auto="1"/>
        </right>
        <top/>
        <bottom/>
        <vertical/>
        <horizontal/>
      </border>
    </dxf>
    <dxf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auto="1"/>
        </left>
        <top/>
        <bottom/>
      </border>
    </dxf>
    <dxf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right style="medium">
          <color auto="1"/>
        </right>
        <top/>
        <bottom/>
        <vertical/>
        <horizontal/>
      </border>
    </dxf>
    <dxf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medium">
          <color auto="1"/>
        </left>
        <right/>
        <top/>
        <bottom/>
      </border>
    </dxf>
    <dxf>
      <border diagonalUp="0" diagonalDown="0" outline="0">
        <left style="thin">
          <color auto="1"/>
        </left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auto="1"/>
        </left>
        <right style="medium">
          <color auto="1"/>
        </right>
        <top/>
        <bottom/>
        <vertical style="thin">
          <color auto="1"/>
        </vertical>
        <horizontal/>
      </border>
    </dxf>
    <dxf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/>
      </font>
      <numFmt numFmtId="164" formatCode="0.0%"/>
    </dxf>
    <dxf>
      <numFmt numFmtId="164" formatCode="0.0%"/>
    </dxf>
    <dxf>
      <numFmt numFmtId="164" formatCode="0.0%"/>
    </dxf>
    <dxf>
      <border diagonalUp="0" diagonalDown="0" outline="0">
        <left style="thin">
          <color auto="1"/>
        </left>
        <right/>
        <top/>
        <bottom/>
      </border>
    </dxf>
    <dxf>
      <font>
        <b/>
      </font>
      <numFmt numFmtId="0" formatCode="General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border diagonalUp="0" diagonalDown="0" outline="0">
        <left style="thin">
          <color auto="1"/>
        </left>
        <right/>
        <top/>
        <bottom/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</font>
      <numFmt numFmtId="164" formatCode="0.0%"/>
      <border diagonalUp="0" diagonalDown="0">
        <left/>
        <right style="medium">
          <color auto="1"/>
        </right>
        <top/>
        <bottom/>
        <vertical/>
        <horizontal/>
      </border>
    </dxf>
    <dxf>
      <border diagonalUp="0" diagonalDown="0" outline="0">
        <left style="thin">
          <color auto="1"/>
        </left>
        <right/>
        <top/>
        <bottom/>
      </border>
    </dxf>
    <dxf>
      <font>
        <b/>
      </font>
      <numFmt numFmtId="0" formatCode="General"/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border diagonalUp="0" diagonalDown="0" outline="0">
        <left style="medium">
          <color auto="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border diagonalUp="0" diagonalDown="0" outline="0">
        <left style="thin">
          <color auto="1"/>
        </left>
        <right style="medium">
          <color auto="1"/>
        </right>
        <top/>
        <bottom/>
      </border>
    </dxf>
    <dxf>
      <font>
        <b/>
      </font>
      <numFmt numFmtId="0" formatCode="General"/>
      <border diagonalUp="0" diagonalDown="0">
        <left style="thin">
          <color auto="1"/>
        </left>
        <right style="medium">
          <color auto="1"/>
        </right>
        <top/>
        <bottom/>
        <vertical/>
        <horizontal/>
      </border>
    </dxf>
    <dxf>
      <border diagonalUp="0" diagonalDown="0" outline="0">
        <left/>
        <right style="medium">
          <color auto="1"/>
        </right>
        <top/>
        <bottom/>
      </border>
    </dxf>
    <dxf>
      <font>
        <b/>
      </font>
    </dxf>
    <dxf>
      <numFmt numFmtId="164" formatCode="0.0%"/>
    </dxf>
    <dxf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border outline="0">
        <right style="thin">
          <color auto="1"/>
        </right>
      </border>
    </dxf>
    <dxf>
      <numFmt numFmtId="164" formatCode="0.0%"/>
    </dxf>
    <dxf>
      <numFmt numFmtId="164" formatCode="0.0%"/>
    </dxf>
    <dxf>
      <font>
        <b/>
      </font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numFmt numFmtId="164" formatCode="0.0%"/>
      <border diagonalUp="0" diagonalDown="0" outline="0">
        <left/>
        <right style="medium">
          <color auto="1"/>
        </right>
        <top/>
        <bottom/>
      </border>
    </dxf>
    <dxf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 outline="0">
        <left/>
        <right style="thin">
          <color auto="1"/>
        </right>
        <top/>
        <bottom/>
      </border>
    </dxf>
    <dxf>
      <font>
        <b/>
      </font>
      <numFmt numFmtId="164" formatCode="0.0%"/>
    </dxf>
    <dxf>
      <border diagonalUp="0" diagonalDown="0" outline="0">
        <left style="thin">
          <color auto="1"/>
        </left>
        <right/>
        <top/>
        <bottom/>
      </border>
    </dxf>
    <dxf>
      <font>
        <b/>
      </font>
      <numFmt numFmtId="0" formatCode="General"/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numFmt numFmtId="164" formatCode="0.0%"/>
      <border diagonalUp="0" diagonalDown="0">
        <left/>
        <right style="medium">
          <color auto="1"/>
        </right>
        <top/>
        <bottom/>
      </border>
    </dxf>
    <dxf>
      <border diagonalUp="0" diagonalDown="0" outline="0">
        <left style="thin">
          <color auto="1"/>
        </left>
        <right/>
        <top/>
        <bottom/>
      </border>
    </dxf>
    <dxf>
      <numFmt numFmtId="0" formatCode="General"/>
    </dxf>
    <dxf>
      <border diagonalUp="0" diagonalDown="0" outline="0">
        <left style="medium">
          <color auto="1"/>
        </left>
        <right/>
        <top/>
        <bottom/>
      </border>
    </dxf>
    <dxf>
      <font>
        <b/>
      </font>
    </dxf>
    <dxf>
      <border diagonalUp="0" diagonalDown="0" outline="0">
        <left/>
        <right style="medium">
          <color auto="1"/>
        </right>
        <top/>
        <bottom/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511A43-3225-495E-A89B-D59BA4595721}" name="Tribunal" displayName="Tribunal" ref="A1:X8" totalsRowCount="1">
  <autoFilter ref="A1:X7" xr:uid="{BC511A43-3225-495E-A89B-D59BA4595721}"/>
  <tableColumns count="24">
    <tableColumn id="1" xr3:uid="{684BC60E-D25C-41F9-BA57-D94BB8471F57}" name="Year" totalsRowLabel="Total" dataDxfId="96" totalsRowDxfId="95"/>
    <tableColumn id="22" xr3:uid="{68AAE39F-32D6-4FA2-9044-97AC14015F6B}" name="TotalCases-SST" totalsRowFunction="sum" dataDxfId="94" totalsRowDxfId="93">
      <calculatedColumnFormula>Tribunal[[#This Row],[TotalCases-GD]]+Tribunal[[#This Row],[TotalCases-AD]]</calculatedColumnFormula>
    </tableColumn>
    <tableColumn id="25" xr3:uid="{3AEEE17B-3054-4D59-B6B7-B727AEB21166}" name="VaxCases-SST" totalsRowFunction="sum" dataDxfId="92" totalsRowDxfId="91">
      <calculatedColumnFormula>Tribunal[[#This Row],[VaxCases-GD]]+Tribunal[[#This Row],[VaxCases-AD]]</calculatedColumnFormula>
    </tableColumn>
    <tableColumn id="26" xr3:uid="{4D0E8E37-FE05-4F53-BCB4-AAD1153EC3CC}" name="VaxRate-SST" totalsRowFunction="custom" totalsRowDxfId="90">
      <calculatedColumnFormula>Tribunal[[#This Row],[VaxCases-SST]]/Tribunal[[#This Row],[TotalCases-SST]]</calculatedColumnFormula>
      <totalsRowFormula>Tribunal[[#Totals],[VaxCases-SST]]/Tribunal[[#Totals],[TotalCases-SST]]</totalsRowFormula>
    </tableColumn>
    <tableColumn id="5" xr3:uid="{CF1358E0-A59A-43B0-8F29-E6694C904F45}" name="AllowedAppeals-GD" totalsRowFunction="sum" dataDxfId="89"/>
    <tableColumn id="6" xr3:uid="{1F3B029E-8712-4996-BBD0-05288F9F3AC0}" name="DismissedAppeals-GD" totalsRowFunction="sum" dataDxfId="88"/>
    <tableColumn id="24" xr3:uid="{AFDA1E44-C8E1-482B-A4B1-F2EB07815213}" name="PartialAppeals-GD" totalsRowFunction="sum" dataDxfId="87"/>
    <tableColumn id="3" xr3:uid="{DDF880E5-6CA8-4BE2-B800-79848BE1D34A}" name="SummaryDismissals-GD" totalsRowFunction="sum" dataDxfId="86"/>
    <tableColumn id="7" xr3:uid="{2589FB4E-F356-4428-89D0-E2D79D2EB09C}" name="OtherResults-GD" totalsRowFunction="sum" dataDxfId="85"/>
    <tableColumn id="2" xr3:uid="{2B571C1E-2968-4CEB-94E0-9DDF12AB449B}" name="TotalCases-GD" totalsRowFunction="sum" dataDxfId="84" totalsRowDxfId="83">
      <calculatedColumnFormula>SUM(Tribunal[[#This Row],[AllowedAppeals-GD]:[OtherResults-GD]])</calculatedColumnFormula>
    </tableColumn>
    <tableColumn id="8" xr3:uid="{E8903287-58CC-480E-A82E-C599B7DF7E6C}" name="SuccessRate-GD" totalsRowFunction="custom" dataDxfId="82" totalsRowDxfId="81">
      <calculatedColumnFormula>Tribunal[[#This Row],[AllowedAppeals-GD]]/Tribunal[[#This Row],[TotalCases-GD]]</calculatedColumnFormula>
      <totalsRowFormula>Tribunal[[#Totals],[AllowedAppeals-GD]]/Tribunal[[#Totals],[TotalCases-GD]]</totalsRowFormula>
    </tableColumn>
    <tableColumn id="9" xr3:uid="{7615A1F6-EE06-45AC-A64B-E7DE0A2FF471}" name="VaxCases-GD" totalsRowFunction="sum" dataDxfId="80"/>
    <tableColumn id="10" xr3:uid="{BF8C1653-1AF8-483E-AFA5-E9F03CEA6854}" name="VaxRate-GD" totalsRowFunction="custom" totalsRowDxfId="79">
      <calculatedColumnFormula>Tribunal[[#This Row],[VaxCases-GD]]/Tribunal[[#This Row],[TotalCases-GD]]</calculatedColumnFormula>
      <totalsRowFormula>Tribunal[[#Totals],[VaxCases-GD]]/Tribunal[[#Totals],[TotalCases-GD]]</totalsRowFormula>
    </tableColumn>
    <tableColumn id="12" xr3:uid="{F4F386D6-A644-4FA6-81B6-E99A88DA49A1}" name="GrantedLeave-AD" totalsRowFunction="sum" dataDxfId="78"/>
    <tableColumn id="13" xr3:uid="{9F6CF20E-0180-48E1-A344-570844127DD7}" name="RefusedLeave-AD" totalsRowFunction="sum" dataDxfId="77"/>
    <tableColumn id="14" xr3:uid="{063C3F1B-F755-4D10-AF60-A06873B56996}" name="AllowedAppeals-AD" totalsRowFunction="sum" dataDxfId="76"/>
    <tableColumn id="15" xr3:uid="{3DE90771-1A88-4207-A299-3A0DE68DC71A}" name="DismissedAppeals-AD" totalsRowFunction="sum" dataDxfId="75"/>
    <tableColumn id="4" xr3:uid="{A784E264-8874-4401-A545-258C1CEB69DB}" name="PartialAppeals-AD" totalsRowFunction="sum" dataDxfId="74"/>
    <tableColumn id="16" xr3:uid="{C38789A3-3914-420D-BA92-961601153372}" name="OtherResults-AD" totalsRowFunction="sum" dataDxfId="73"/>
    <tableColumn id="23" xr3:uid="{B6B7FDBB-1EBE-4528-B0C7-053A003E5ED3}" name="TotalCases-AD" totalsRowFunction="sum" dataDxfId="72">
      <calculatedColumnFormula>SUM(Tribunal[[#This Row],[GrantedLeave-AD]:[OtherResults-AD]])</calculatedColumnFormula>
    </tableColumn>
    <tableColumn id="17" xr3:uid="{5E178E61-68AA-4FCC-8FAD-B1AEDFB1C6C2}" name="LeaveRatio-AD" totalsRowFunction="custom" dataDxfId="71" totalsRowDxfId="70">
      <calculatedColumnFormula>Tribunal[[#This Row],[GrantedLeave-AD]]/Tribunal[[#This Row],[RefusedLeave-AD]]</calculatedColumnFormula>
      <totalsRowFormula>Tribunal[[#Totals],[GrantedLeave-AD]]/Tribunal[[#Totals],[RefusedLeave-AD]]</totalsRowFormula>
    </tableColumn>
    <tableColumn id="18" xr3:uid="{9686CEC1-70D9-4132-91D4-8C68BE000205}" name="SuccessRate-AD" totalsRowFunction="custom" dataDxfId="69" totalsRowDxfId="68">
      <calculatedColumnFormula>Tribunal[[#This Row],[AllowedAppeals-AD]]/Tribunal[[#This Row],[TotalCases-AD]]</calculatedColumnFormula>
      <totalsRowFormula>Tribunal[[#Totals],[AllowedAppeals-AD]]/Tribunal[[#Totals],[TotalCases-AD]]</totalsRowFormula>
    </tableColumn>
    <tableColumn id="19" xr3:uid="{A2D8D1FA-43BA-43DE-AE6D-073D43D31F5F}" name="VaxCases-AD" totalsRowFunction="sum" dataDxfId="67"/>
    <tableColumn id="20" xr3:uid="{33144839-BA85-430F-807B-FB85D1FFB396}" name="VaxRate-AD" totalsRowFunction="custom" totalsRowDxfId="66">
      <calculatedColumnFormula>Tribunal[[#This Row],[VaxCases-AD]]/Tribunal[[#This Row],[TotalCases-AD]]</calculatedColumnFormula>
      <totalsRowFormula>Tribunal[[#Totals],[VaxCases-AD]]/Tribunal[[#Totals],[TotalCases-AD]]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1B1083-E60C-46A9-935D-FE82DA3A181B}" name="VaxCases" displayName="VaxCases" ref="A1:T6" totalsRowCount="1">
  <autoFilter ref="A1:T5" xr:uid="{BC511A43-3225-495E-A89B-D59BA4595721}"/>
  <tableColumns count="20">
    <tableColumn id="1" xr3:uid="{BF2D444E-D279-4004-8845-0A4409AE90CE}" name="Year" totalsRowLabel="Total" dataDxfId="65" totalsRowDxfId="64"/>
    <tableColumn id="22" xr3:uid="{1EB4F21E-6CF4-4C85-84E0-DD87ABFB4C55}" name="SST-TotalCases" totalsRowFunction="sum" dataDxfId="63" totalsRowDxfId="62">
      <calculatedColumnFormula>_xlfn.XLOOKUP(VaxCases[[#This Row],[Year]],Tribunal[Year],Tribunal[TotalCases-SST])</calculatedColumnFormula>
    </tableColumn>
    <tableColumn id="10" xr3:uid="{A035971B-E3FA-4C8A-84DF-DAC77C80B86F}" name="GD-TotalCases" totalsRowFunction="sum" dataDxfId="61" totalsRowDxfId="60">
      <calculatedColumnFormula>_xlfn.XLOOKUP(VaxCases[[#This Row],[Year]],Tribunal[Year],Tribunal[TotalCases-GD])</calculatedColumnFormula>
    </tableColumn>
    <tableColumn id="19" xr3:uid="{A20C2E35-6DC9-417E-A2C4-2819EB5E855B}" name="VaxRate-GD" totalsRowFunction="custom" dataDxfId="59" totalsRowDxfId="58">
      <calculatedColumnFormula>_xlfn.XLOOKUP(VaxCases[[#This Row],[Year]],Tribunal[Year],Tribunal[VaxRate-GD])</calculatedColumnFormula>
      <totalsRowFormula>_xlfn.XLOOKUP(VaxCases[[#Totals],[Year]],Tribunal[[#Totals],[Year]],Tribunal[[#Totals],[VaxRate-GD]])</totalsRowFormula>
    </tableColumn>
    <tableColumn id="5" xr3:uid="{70632CEC-3110-4F3E-8DF9-2D3265FF08E2}" name="AllowedAppeals-GD" totalsRowFunction="sum" dataDxfId="57"/>
    <tableColumn id="6" xr3:uid="{5223BEBC-6B92-4D5B-A84F-941D5485AB70}" name="DismissedAppeals-GD" totalsRowFunction="sum" dataDxfId="56"/>
    <tableColumn id="24" xr3:uid="{3D9AEA89-D8E3-462B-8F3F-7EDE891FF5E1}" name="PartialAppeals-GD" totalsRowFunction="sum" dataDxfId="55"/>
    <tableColumn id="3" xr3:uid="{371E2E53-BFC2-4C74-8AD8-FB878AECE77B}" name="SummaryDismissals-GD" totalsRowFunction="sum" dataDxfId="54"/>
    <tableColumn id="2" xr3:uid="{B9CF2E44-28D4-4C53-8A9F-B9C60F510A51}" name="TotalCases-GD" totalsRowFunction="sum" dataDxfId="53" totalsRowDxfId="52">
      <calculatedColumnFormula>SUM(VaxCases[[#This Row],[AllowedAppeals-GD]:[SummaryDismissals-GD]])</calculatedColumnFormula>
    </tableColumn>
    <tableColumn id="8" xr3:uid="{DCA0A740-CDE5-45AE-8418-0FB28ABB5CB9}" name="SuccessRate-GD" totalsRowFunction="custom" dataDxfId="51" totalsRowDxfId="50">
      <calculatedColumnFormula>VaxCases[[#This Row],[AllowedAppeals-GD]]/VaxCases[[#This Row],[TotalCases-GD]]</calculatedColumnFormula>
      <totalsRowFormula>VaxCases[[#Totals],[AllowedAppeals-GD]]/VaxCases[[#Totals],[TotalCases-GD]]</totalsRowFormula>
    </tableColumn>
    <tableColumn id="25" xr3:uid="{782A46F9-07D6-4E2D-865B-D9B85180B0A0}" name="AD-TotalCases" totalsRowFunction="sum" dataDxfId="49" totalsRowDxfId="48">
      <calculatedColumnFormula>_xlfn.XLOOKUP(VaxCases[[#This Row],[Year]],Tribunal[Year],Tribunal[TotalCases-AD])</calculatedColumnFormula>
    </tableColumn>
    <tableColumn id="20" xr3:uid="{4E7651CA-7CBD-4203-B252-029FF014AD8F}" name="VaxRate-AD" totalsRowFunction="custom" dataDxfId="47" totalsRowDxfId="46">
      <calculatedColumnFormula>_xlfn.XLOOKUP(VaxCases[[#This Row],[Year]],Tribunal[Year],Tribunal[VaxRate-AD])</calculatedColumnFormula>
      <totalsRowFormula>_xlfn.XLOOKUP(VaxCases[[#Totals],[Year]],Tribunal[[#Totals],[Year]],Tribunal[[#Totals],[VaxRate-AD]])</totalsRowFormula>
    </tableColumn>
    <tableColumn id="12" xr3:uid="{BAA4C605-0A60-48F2-815E-EEE125DBA08F}" name="GrantedLeave-AD" totalsRowFunction="sum" dataDxfId="45"/>
    <tableColumn id="13" xr3:uid="{7AA9BF3C-374E-41A0-BF3E-9474C139ED71}" name="RefusedLeave-AD" totalsRowFunction="sum" dataDxfId="44"/>
    <tableColumn id="14" xr3:uid="{0B63C9A5-0190-42FF-A4AE-6F2D54592638}" name="AllowedAppeals-AD" totalsRowFunction="sum" dataDxfId="43" totalsRowDxfId="42"/>
    <tableColumn id="15" xr3:uid="{2264CA65-E0A0-4217-9A72-772E67508D10}" name="DismissedAppeals-AD" totalsRowFunction="sum" dataDxfId="41"/>
    <tableColumn id="4" xr3:uid="{2D1B4B1F-64BA-490F-9EDB-720AE4CFD502}" name="PartialAppeals-AD" totalsRowFunction="sum" dataDxfId="40"/>
    <tableColumn id="23" xr3:uid="{5124CEED-2071-4DD1-8772-438933FE548B}" name="TotalCases-AD" totalsRowFunction="sum" dataDxfId="39" totalsRowDxfId="38">
      <calculatedColumnFormula>SUM(VaxCases[[#This Row],[GrantedLeave-AD]:[PartialAppeals-AD]])</calculatedColumnFormula>
    </tableColumn>
    <tableColumn id="17" xr3:uid="{5FCCC720-BF70-4CD7-A8D2-B8543C89FDB2}" name="LeaveRatio-AD" totalsRowFunction="custom" dataDxfId="37" totalsRowDxfId="36">
      <calculatedColumnFormula>VaxCases[[#This Row],[GrantedLeave-AD]]/VaxCases[[#This Row],[RefusedLeave-AD]]</calculatedColumnFormula>
      <totalsRowFormula>VaxCases[[#Totals],[GrantedLeave-AD]]/VaxCases[[#Totals],[RefusedLeave-AD]]</totalsRowFormula>
    </tableColumn>
    <tableColumn id="18" xr3:uid="{8059D458-7775-4696-ADC5-2C06F6BE429B}" name="SuccessRate-AD" totalsRowFunction="custom" dataDxfId="35" totalsRowDxfId="34">
      <calculatedColumnFormula>VaxCases[[#This Row],[AllowedAppeals-AD]]/VaxCases[[#This Row],[TotalCases-AD]]</calculatedColumnFormula>
      <totalsRowFormula>VaxCases[[#Totals],[AllowedAppeals-AD]]/VaxCases[[#Totals],[TotalCases-AD]]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392D6C-993A-4A4C-AFA2-BDFB810372E7}" name="Members" displayName="Members" ref="A1:S4" totalsRowCount="1">
  <autoFilter ref="A1:S3" xr:uid="{BC511A43-3225-495E-A89B-D59BA4595721}"/>
  <tableColumns count="19">
    <tableColumn id="26" xr3:uid="{314DB097-7A24-4687-AB76-5889A81E08F3}" name="Member" totalsRowFunction="count" dataDxfId="33" totalsRowDxfId="32"/>
    <tableColumn id="34" xr3:uid="{2D5723CC-615A-424D-ADBC-D5FE0F88D29F}" name="Division" dataDxfId="31" totalsRowDxfId="30"/>
    <tableColumn id="30" xr3:uid="{FA22ED07-BDCB-4ADD-B3D0-9A315B7FFB71}" name="2022-Cases" totalsRowFunction="sum" dataDxfId="29" totalsRowDxfId="28"/>
    <tableColumn id="28" xr3:uid="{10AA736E-5DCA-4E9B-BDEA-0C30D9227EB2}" name="2022-VaxCases" totalsRowFunction="sum" dataDxfId="27" totalsRowDxfId="26"/>
    <tableColumn id="31" xr3:uid="{A2B0FCCE-B4F5-485C-8A7C-AEDE3B14DB39}" name="2022-VaxRate" totalsRowFunction="custom" dataDxfId="25" totalsRowDxfId="24">
      <calculatedColumnFormula>Members[[#This Row],[2022-VaxCases]]/Members[[#This Row],[2022-Cases]]</calculatedColumnFormula>
      <totalsRowFormula>Members[[#Totals],[2022-VaxCases]]/Members[[#Totals],[2022-Cases]]</totalsRowFormula>
    </tableColumn>
    <tableColumn id="27" xr3:uid="{1E7A9347-2E47-41A1-A7E5-AA9056F25EB4}" name="2023-Cases" totalsRowFunction="sum" dataDxfId="23" totalsRowDxfId="22"/>
    <tableColumn id="32" xr3:uid="{A90D2529-44E0-49E1-9228-3CEF3745F899}" name="2023-VaxCases" totalsRowFunction="sum" dataDxfId="21" totalsRowDxfId="20"/>
    <tableColumn id="33" xr3:uid="{DDE2B964-9C13-481C-BA99-2C0D10AA29E8}" name="2023-VaxRate" totalsRowFunction="custom" dataDxfId="19" totalsRowDxfId="18">
      <calculatedColumnFormula>Members[[#This Row],[2023-VaxCases]]/Members[[#This Row],[2023-Cases]]</calculatedColumnFormula>
      <totalsRowFormula>Members[[#Totals],[2023-VaxCases]]/Members[[#Totals],[2023-Cases]]</totalsRowFormula>
    </tableColumn>
    <tableColumn id="3" xr3:uid="{2C2DEB3A-75C6-4911-897E-DF3F18FCD1C6}" name="2024-Cases" totalsRowFunction="sum" dataDxfId="17" totalsRowDxfId="16"/>
    <tableColumn id="2" xr3:uid="{8AFFAB10-5782-4A03-8C9F-4A24188DB80E}" name="2024-VaxCases" totalsRowFunction="sum" dataDxfId="15" totalsRowDxfId="14"/>
    <tableColumn id="1" xr3:uid="{0D4B9C26-CDD3-4AFB-88F4-7E818D18ACE9}" name="2024-VaxRate" totalsRowFunction="custom" dataDxfId="13" totalsRowDxfId="12">
      <calculatedColumnFormula>Members[[#This Row],[2024-VaxCases]]/Members[[#This Row],[2024-Cases]]</calculatedColumnFormula>
      <totalsRowFormula>Members[[#Totals],[2024-VaxCases]]/Members[[#Totals],[2024-Cases]]</totalsRowFormula>
    </tableColumn>
    <tableColumn id="12" xr3:uid="{88EB695E-A0A7-4B0E-9D5C-F84B7638529E}" name="GrantedLeave" totalsRowFunction="sum" dataDxfId="11"/>
    <tableColumn id="13" xr3:uid="{C028670B-4E1A-4149-93A7-9DBF668CBC69}" name="RefusedLeave" totalsRowFunction="sum" dataDxfId="10"/>
    <tableColumn id="17" xr3:uid="{A66A48BB-F0E4-4604-B5B4-BEF2899567E5}" name="LeaveRatio" totalsRowFunction="custom" dataDxfId="9" totalsRowDxfId="8">
      <calculatedColumnFormula>IF(Members[[#This Row],[RefusedLeave]]&gt;0,Members[[#This Row],[GrantedLeave]]/Members[[#This Row],[RefusedLeave]],0)</calculatedColumnFormula>
      <totalsRowFormula>Members[[#Totals],[GrantedLeave]]/Members[[#Totals],[RefusedLeave]]</totalsRowFormula>
    </tableColumn>
    <tableColumn id="14" xr3:uid="{6B9A1EB2-0CAD-45EA-A51D-ECE02DA23551}" name="AllowedAppeals" totalsRowFunction="sum" dataDxfId="7" totalsRowDxfId="6"/>
    <tableColumn id="15" xr3:uid="{C2D86B0A-F91D-47CC-A391-E0E5A1E00E83}" name="DismissedAppeals" totalsRowFunction="sum" dataDxfId="5"/>
    <tableColumn id="4" xr3:uid="{6A6E6891-1D90-4B9D-B028-5EEBB7478EB3}" name="PartialAppeals" totalsRowFunction="sum" dataDxfId="4"/>
    <tableColumn id="23" xr3:uid="{CA02B7CC-5B79-477D-8E54-FE1B251A6390}" name="TotalAppeals" totalsRowFunction="sum" dataDxfId="3" totalsRowDxfId="2">
      <calculatedColumnFormula>SUM(Members[[#This Row],[AllowedAppeals]:[PartialAppeals]])</calculatedColumnFormula>
    </tableColumn>
    <tableColumn id="18" xr3:uid="{3C052C8C-A2FE-4025-8F5B-71EA39C478D8}" name="SuccessRate" totalsRowFunction="custom" dataDxfId="1" totalsRowDxfId="0">
      <calculatedColumnFormula>Members[[#This Row],[AllowedAppeals]]/Members[[#This Row],[TotalAppeals]]</calculatedColumnFormula>
      <totalsRowFormula>Members[[#Totals],[AllowedAppeals]]/Members[[#Totals],[TotalAppeals]]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E7300-663A-4E38-AC61-1D05CBB38916}">
  <dimension ref="A1:X33"/>
  <sheetViews>
    <sheetView tabSelected="1" workbookViewId="0">
      <pane xSplit="10" ySplit="1" topLeftCell="K2" activePane="bottomRight" state="frozen"/>
      <selection pane="topRight" activeCell="E1" sqref="E1"/>
      <selection pane="bottomLeft" activeCell="A2" sqref="A2"/>
      <selection pane="bottomRight"/>
    </sheetView>
  </sheetViews>
  <sheetFormatPr defaultRowHeight="14.4" x14ac:dyDescent="0.3"/>
  <cols>
    <col min="1" max="1" width="8.88671875" style="1"/>
    <col min="2" max="2" width="7.109375" customWidth="1"/>
    <col min="3" max="3" width="7" customWidth="1"/>
    <col min="4" max="4" width="6.88671875" style="5" customWidth="1"/>
    <col min="5" max="5" width="7.44140625" customWidth="1"/>
    <col min="7" max="7" width="8.109375" customWidth="1"/>
    <col min="8" max="8" width="8.33203125" customWidth="1"/>
    <col min="9" max="9" width="7.5546875" customWidth="1"/>
    <col min="10" max="10" width="7" style="2" customWidth="1"/>
    <col min="11" max="11" width="8.33203125" customWidth="1"/>
    <col min="12" max="12" width="7.109375" style="3" customWidth="1"/>
    <col min="13" max="13" width="7.109375" customWidth="1"/>
    <col min="14" max="14" width="7.5546875" customWidth="1"/>
    <col min="15" max="15" width="8.33203125" customWidth="1"/>
    <col min="16" max="16" width="7.44140625" style="5" customWidth="1"/>
    <col min="17" max="18" width="8.77734375" customWidth="1"/>
    <col min="19" max="19" width="7.6640625" customWidth="1"/>
    <col min="20" max="20" width="7.109375" customWidth="1"/>
    <col min="21" max="21" width="7.6640625" customWidth="1"/>
    <col min="22" max="22" width="9.33203125" customWidth="1"/>
    <col min="23" max="23" width="7.77734375" customWidth="1"/>
    <col min="24" max="24" width="8.33203125" style="1" customWidth="1"/>
    <col min="25" max="26" width="5.88671875" customWidth="1"/>
    <col min="27" max="28" width="17.6640625" customWidth="1"/>
    <col min="29" max="29" width="12.77734375" customWidth="1"/>
    <col min="30" max="30" width="14.21875" customWidth="1"/>
    <col min="31" max="31" width="10.77734375" customWidth="1"/>
    <col min="32" max="32" width="14.6640625" customWidth="1"/>
    <col min="33" max="33" width="16.21875" customWidth="1"/>
    <col min="34" max="35" width="15.88671875" customWidth="1"/>
  </cols>
  <sheetData>
    <row r="1" spans="1:24" x14ac:dyDescent="0.3">
      <c r="A1" s="1" t="s">
        <v>0</v>
      </c>
      <c r="B1" s="10" t="s">
        <v>10</v>
      </c>
      <c r="C1" s="4" t="s">
        <v>19</v>
      </c>
      <c r="D1" s="7" t="s">
        <v>20</v>
      </c>
      <c r="E1" t="s">
        <v>5</v>
      </c>
      <c r="F1" t="s">
        <v>6</v>
      </c>
      <c r="G1" t="s">
        <v>18</v>
      </c>
      <c r="H1" t="s">
        <v>3</v>
      </c>
      <c r="I1" t="s">
        <v>4</v>
      </c>
      <c r="J1" s="9" t="s">
        <v>2</v>
      </c>
      <c r="K1" s="6" t="s">
        <v>7</v>
      </c>
      <c r="L1" t="s">
        <v>8</v>
      </c>
      <c r="M1" s="1" t="s">
        <v>9</v>
      </c>
      <c r="N1" t="s">
        <v>12</v>
      </c>
      <c r="O1" t="s">
        <v>13</v>
      </c>
      <c r="P1" t="s">
        <v>23</v>
      </c>
      <c r="Q1" t="s">
        <v>24</v>
      </c>
      <c r="R1" t="s">
        <v>21</v>
      </c>
      <c r="S1" s="8" t="s">
        <v>14</v>
      </c>
      <c r="T1" t="s">
        <v>11</v>
      </c>
      <c r="U1" t="s">
        <v>22</v>
      </c>
      <c r="V1" t="s">
        <v>15</v>
      </c>
      <c r="W1" s="4" t="s">
        <v>16</v>
      </c>
      <c r="X1" t="s">
        <v>17</v>
      </c>
    </row>
    <row r="2" spans="1:24" x14ac:dyDescent="0.3">
      <c r="A2" s="11">
        <v>2019</v>
      </c>
      <c r="B2" s="10">
        <f>Tribunal[[#This Row],[TotalCases-GD]]+Tribunal[[#This Row],[TotalCases-AD]]</f>
        <v>988</v>
      </c>
      <c r="C2" s="4">
        <f>Tribunal[[#This Row],[VaxCases-GD]]+Tribunal[[#This Row],[VaxCases-AD]]</f>
        <v>0</v>
      </c>
      <c r="D2" s="7">
        <f>Tribunal[[#This Row],[VaxCases-SST]]/Tribunal[[#This Row],[TotalCases-SST]]</f>
        <v>0</v>
      </c>
      <c r="E2" s="20">
        <v>164</v>
      </c>
      <c r="F2" s="20">
        <v>304</v>
      </c>
      <c r="G2" s="20">
        <v>25</v>
      </c>
      <c r="H2" s="20">
        <v>7</v>
      </c>
      <c r="I2" s="20">
        <v>9</v>
      </c>
      <c r="J2" s="9">
        <f>SUM(Tribunal[[#This Row],[AllowedAppeals-GD]:[OtherResults-GD]])</f>
        <v>509</v>
      </c>
      <c r="K2" s="12">
        <f>Tribunal[[#This Row],[AllowedAppeals-GD]]/Tribunal[[#This Row],[TotalCases-GD]]</f>
        <v>0.32220039292730845</v>
      </c>
      <c r="L2" s="20">
        <v>0</v>
      </c>
      <c r="M2" s="7">
        <f>Tribunal[[#This Row],[VaxCases-GD]]/Tribunal[[#This Row],[TotalCases-GD]]</f>
        <v>0</v>
      </c>
      <c r="N2" s="20">
        <v>6</v>
      </c>
      <c r="O2" s="20">
        <v>251</v>
      </c>
      <c r="P2" s="20">
        <v>90</v>
      </c>
      <c r="Q2" s="20">
        <v>93</v>
      </c>
      <c r="R2" s="20">
        <v>10</v>
      </c>
      <c r="S2" s="21">
        <v>29</v>
      </c>
      <c r="T2" s="13">
        <f>SUM(Tribunal[[#This Row],[GrantedLeave-AD]:[OtherResults-AD]])</f>
        <v>479</v>
      </c>
      <c r="U2" s="5">
        <f>Tribunal[[#This Row],[GrantedLeave-AD]]/Tribunal[[#This Row],[RefusedLeave-AD]]</f>
        <v>2.3904382470119521E-2</v>
      </c>
      <c r="V2" s="14">
        <f>Tribunal[[#This Row],[AllowedAppeals-AD]]/Tribunal[[#This Row],[TotalCases-AD]]</f>
        <v>0.18789144050104384</v>
      </c>
      <c r="W2" s="22">
        <v>0</v>
      </c>
      <c r="X2" s="5">
        <f>Tribunal[[#This Row],[VaxCases-AD]]/Tribunal[[#This Row],[TotalCases-AD]]</f>
        <v>0</v>
      </c>
    </row>
    <row r="3" spans="1:24" x14ac:dyDescent="0.3">
      <c r="A3" s="11">
        <v>2020</v>
      </c>
      <c r="B3" s="10">
        <f>Tribunal[[#This Row],[TotalCases-GD]]+Tribunal[[#This Row],[TotalCases-AD]]</f>
        <v>712</v>
      </c>
      <c r="C3" s="4">
        <f>Tribunal[[#This Row],[VaxCases-GD]]+Tribunal[[#This Row],[VaxCases-AD]]</f>
        <v>0</v>
      </c>
      <c r="D3" s="7">
        <f>Tribunal[[#This Row],[VaxCases-SST]]/Tribunal[[#This Row],[TotalCases-SST]]</f>
        <v>0</v>
      </c>
      <c r="E3" s="20">
        <v>116</v>
      </c>
      <c r="F3" s="20">
        <v>282</v>
      </c>
      <c r="G3" s="20">
        <v>24</v>
      </c>
      <c r="H3" s="20">
        <v>2</v>
      </c>
      <c r="I3" s="20">
        <v>7</v>
      </c>
      <c r="J3" s="9">
        <f>SUM(Tribunal[[#This Row],[AllowedAppeals-GD]:[OtherResults-GD]])</f>
        <v>431</v>
      </c>
      <c r="K3" s="12">
        <f>Tribunal[[#This Row],[AllowedAppeals-GD]]/Tribunal[[#This Row],[TotalCases-GD]]</f>
        <v>0.26914153132250579</v>
      </c>
      <c r="L3" s="20">
        <v>0</v>
      </c>
      <c r="M3" s="7">
        <f>Tribunal[[#This Row],[VaxCases-GD]]/Tribunal[[#This Row],[TotalCases-GD]]</f>
        <v>0</v>
      </c>
      <c r="N3" s="20">
        <v>7</v>
      </c>
      <c r="O3" s="20">
        <v>121</v>
      </c>
      <c r="P3" s="20">
        <v>72</v>
      </c>
      <c r="Q3" s="20">
        <v>63</v>
      </c>
      <c r="R3" s="20">
        <v>5</v>
      </c>
      <c r="S3" s="21">
        <v>13</v>
      </c>
      <c r="T3" s="13">
        <f>SUM(Tribunal[[#This Row],[GrantedLeave-AD]:[OtherResults-AD]])</f>
        <v>281</v>
      </c>
      <c r="U3" s="5">
        <f>Tribunal[[#This Row],[GrantedLeave-AD]]/Tribunal[[#This Row],[RefusedLeave-AD]]</f>
        <v>5.7851239669421489E-2</v>
      </c>
      <c r="V3" s="14">
        <f>Tribunal[[#This Row],[AllowedAppeals-AD]]/Tribunal[[#This Row],[TotalCases-AD]]</f>
        <v>0.25622775800711745</v>
      </c>
      <c r="W3" s="22">
        <v>0</v>
      </c>
      <c r="X3" s="5">
        <f>Tribunal[[#This Row],[VaxCases-AD]]/Tribunal[[#This Row],[TotalCases-AD]]</f>
        <v>0</v>
      </c>
    </row>
    <row r="4" spans="1:24" x14ac:dyDescent="0.3">
      <c r="A4" s="11">
        <v>2021</v>
      </c>
      <c r="B4" s="10">
        <f>Tribunal[[#This Row],[TotalCases-GD]]+Tribunal[[#This Row],[TotalCases-AD]]</f>
        <v>595</v>
      </c>
      <c r="C4" s="4">
        <f>Tribunal[[#This Row],[VaxCases-GD]]+Tribunal[[#This Row],[VaxCases-AD]]</f>
        <v>7</v>
      </c>
      <c r="D4" s="7">
        <f>Tribunal[[#This Row],[VaxCases-SST]]/Tribunal[[#This Row],[TotalCases-SST]]</f>
        <v>1.1764705882352941E-2</v>
      </c>
      <c r="E4" s="20">
        <v>144</v>
      </c>
      <c r="F4" s="20">
        <v>220</v>
      </c>
      <c r="G4" s="20">
        <v>37</v>
      </c>
      <c r="H4" s="20">
        <v>3</v>
      </c>
      <c r="I4" s="20">
        <v>1</v>
      </c>
      <c r="J4" s="9">
        <f>SUM(Tribunal[[#This Row],[AllowedAppeals-GD]:[OtherResults-GD]])</f>
        <v>405</v>
      </c>
      <c r="K4" s="12">
        <f>Tribunal[[#This Row],[AllowedAppeals-GD]]/Tribunal[[#This Row],[TotalCases-GD]]</f>
        <v>0.35555555555555557</v>
      </c>
      <c r="L4" s="20">
        <v>6</v>
      </c>
      <c r="M4" s="7">
        <f>Tribunal[[#This Row],[VaxCases-GD]]/Tribunal[[#This Row],[TotalCases-GD]]</f>
        <v>1.4814814814814815E-2</v>
      </c>
      <c r="N4" s="20">
        <v>2</v>
      </c>
      <c r="O4" s="20">
        <v>75</v>
      </c>
      <c r="P4" s="20">
        <v>69</v>
      </c>
      <c r="Q4" s="20">
        <v>27</v>
      </c>
      <c r="R4" s="20">
        <v>6</v>
      </c>
      <c r="S4" s="21">
        <v>11</v>
      </c>
      <c r="T4" s="13">
        <f>SUM(Tribunal[[#This Row],[GrantedLeave-AD]:[OtherResults-AD]])</f>
        <v>190</v>
      </c>
      <c r="U4" s="5">
        <f>Tribunal[[#This Row],[GrantedLeave-AD]]/Tribunal[[#This Row],[RefusedLeave-AD]]</f>
        <v>2.6666666666666668E-2</v>
      </c>
      <c r="V4" s="14">
        <f>Tribunal[[#This Row],[AllowedAppeals-AD]]/Tribunal[[#This Row],[TotalCases-AD]]</f>
        <v>0.36315789473684212</v>
      </c>
      <c r="W4" s="22">
        <v>1</v>
      </c>
      <c r="X4" s="5">
        <f>Tribunal[[#This Row],[VaxCases-AD]]/Tribunal[[#This Row],[TotalCases-AD]]</f>
        <v>5.263157894736842E-3</v>
      </c>
    </row>
    <row r="5" spans="1:24" x14ac:dyDescent="0.3">
      <c r="A5" s="11">
        <v>2022</v>
      </c>
      <c r="B5" s="10">
        <f>Tribunal[[#This Row],[TotalCases-GD]]+Tribunal[[#This Row],[TotalCases-AD]]</f>
        <v>1304</v>
      </c>
      <c r="C5" s="4">
        <f>Tribunal[[#This Row],[VaxCases-GD]]+Tribunal[[#This Row],[VaxCases-AD]]</f>
        <v>430</v>
      </c>
      <c r="D5" s="7">
        <f>Tribunal[[#This Row],[VaxCases-SST]]/Tribunal[[#This Row],[TotalCases-SST]]</f>
        <v>0.32975460122699385</v>
      </c>
      <c r="E5" s="20">
        <v>145</v>
      </c>
      <c r="F5" s="20">
        <v>597</v>
      </c>
      <c r="G5" s="20">
        <v>31</v>
      </c>
      <c r="H5" s="20">
        <v>39</v>
      </c>
      <c r="I5" s="20">
        <v>11</v>
      </c>
      <c r="J5" s="9">
        <f>SUM(Tribunal[[#This Row],[AllowedAppeals-GD]:[OtherResults-GD]])</f>
        <v>823</v>
      </c>
      <c r="K5" s="12">
        <f>Tribunal[[#This Row],[AllowedAppeals-GD]]/Tribunal[[#This Row],[TotalCases-GD]]</f>
        <v>0.17618469015795868</v>
      </c>
      <c r="L5" s="20">
        <v>305</v>
      </c>
      <c r="M5" s="7">
        <f>Tribunal[[#This Row],[VaxCases-GD]]/Tribunal[[#This Row],[TotalCases-GD]]</f>
        <v>0.37059538274605103</v>
      </c>
      <c r="N5" s="20">
        <v>2</v>
      </c>
      <c r="O5" s="20">
        <v>261</v>
      </c>
      <c r="P5" s="20">
        <v>143</v>
      </c>
      <c r="Q5" s="20">
        <v>46</v>
      </c>
      <c r="R5" s="20">
        <v>11</v>
      </c>
      <c r="S5" s="21">
        <v>18</v>
      </c>
      <c r="T5" s="13">
        <f>SUM(Tribunal[[#This Row],[GrantedLeave-AD]:[OtherResults-AD]])</f>
        <v>481</v>
      </c>
      <c r="U5" s="5">
        <f>Tribunal[[#This Row],[GrantedLeave-AD]]/Tribunal[[#This Row],[RefusedLeave-AD]]</f>
        <v>7.6628352490421452E-3</v>
      </c>
      <c r="V5" s="14">
        <f>Tribunal[[#This Row],[AllowedAppeals-AD]]/Tribunal[[#This Row],[TotalCases-AD]]</f>
        <v>0.29729729729729731</v>
      </c>
      <c r="W5" s="22">
        <v>125</v>
      </c>
      <c r="X5" s="5">
        <f>Tribunal[[#This Row],[VaxCases-AD]]/Tribunal[[#This Row],[TotalCases-AD]]</f>
        <v>0.25987525987525989</v>
      </c>
    </row>
    <row r="6" spans="1:24" x14ac:dyDescent="0.3">
      <c r="A6" s="11">
        <v>2023</v>
      </c>
      <c r="B6" s="10">
        <f>Tribunal[[#This Row],[TotalCases-GD]]+Tribunal[[#This Row],[TotalCases-AD]]</f>
        <v>1496</v>
      </c>
      <c r="C6" s="4">
        <f>Tribunal[[#This Row],[VaxCases-GD]]+Tribunal[[#This Row],[VaxCases-AD]]</f>
        <v>621</v>
      </c>
      <c r="D6" s="7">
        <f>Tribunal[[#This Row],[VaxCases-SST]]/Tribunal[[#This Row],[TotalCases-SST]]</f>
        <v>0.41510695187165775</v>
      </c>
      <c r="E6" s="20">
        <v>94</v>
      </c>
      <c r="F6" s="20">
        <v>651</v>
      </c>
      <c r="G6" s="20">
        <v>35</v>
      </c>
      <c r="H6" s="20">
        <v>0</v>
      </c>
      <c r="I6" s="20">
        <v>19</v>
      </c>
      <c r="J6" s="9">
        <f>SUM(Tribunal[[#This Row],[AllowedAppeals-GD]:[OtherResults-GD]])</f>
        <v>799</v>
      </c>
      <c r="K6" s="12">
        <f>Tribunal[[#This Row],[AllowedAppeals-GD]]/Tribunal[[#This Row],[TotalCases-GD]]</f>
        <v>0.11764705882352941</v>
      </c>
      <c r="L6" s="20">
        <v>270</v>
      </c>
      <c r="M6" s="7">
        <f>Tribunal[[#This Row],[VaxCases-GD]]/Tribunal[[#This Row],[TotalCases-GD]]</f>
        <v>0.3379224030037547</v>
      </c>
      <c r="N6" s="20">
        <v>0</v>
      </c>
      <c r="O6" s="20">
        <v>489</v>
      </c>
      <c r="P6" s="20">
        <v>99</v>
      </c>
      <c r="Q6" s="20">
        <v>70</v>
      </c>
      <c r="R6" s="20">
        <v>18</v>
      </c>
      <c r="S6" s="21">
        <v>21</v>
      </c>
      <c r="T6" s="13">
        <f>SUM(Tribunal[[#This Row],[GrantedLeave-AD]:[OtherResults-AD]])</f>
        <v>697</v>
      </c>
      <c r="U6" s="5">
        <f>Tribunal[[#This Row],[GrantedLeave-AD]]/Tribunal[[#This Row],[RefusedLeave-AD]]</f>
        <v>0</v>
      </c>
      <c r="V6" s="14">
        <f>Tribunal[[#This Row],[AllowedAppeals-AD]]/Tribunal[[#This Row],[TotalCases-AD]]</f>
        <v>0.14203730272596843</v>
      </c>
      <c r="W6" s="22">
        <v>351</v>
      </c>
      <c r="X6" s="5">
        <f>Tribunal[[#This Row],[VaxCases-AD]]/Tribunal[[#This Row],[TotalCases-AD]]</f>
        <v>0.50358680057388805</v>
      </c>
    </row>
    <row r="7" spans="1:24" x14ac:dyDescent="0.3">
      <c r="A7" s="11">
        <v>2024</v>
      </c>
      <c r="B7" s="10">
        <f>Tribunal[[#This Row],[TotalCases-GD]]+Tribunal[[#This Row],[TotalCases-AD]]</f>
        <v>836</v>
      </c>
      <c r="C7" s="4">
        <f>Tribunal[[#This Row],[VaxCases-GD]]+Tribunal[[#This Row],[VaxCases-AD]]</f>
        <v>68</v>
      </c>
      <c r="D7" s="7">
        <f>Tribunal[[#This Row],[VaxCases-SST]]/Tribunal[[#This Row],[TotalCases-SST]]</f>
        <v>8.1339712918660281E-2</v>
      </c>
      <c r="E7" s="20">
        <v>70</v>
      </c>
      <c r="F7" s="20">
        <v>235</v>
      </c>
      <c r="G7" s="20">
        <v>19</v>
      </c>
      <c r="H7" s="20">
        <v>0</v>
      </c>
      <c r="I7" s="20">
        <v>19</v>
      </c>
      <c r="J7" s="9">
        <f>SUM(Tribunal[[#This Row],[AllowedAppeals-GD]:[OtherResults-GD]])</f>
        <v>343</v>
      </c>
      <c r="K7" s="12">
        <f>Tribunal[[#This Row],[AllowedAppeals-GD]]/Tribunal[[#This Row],[TotalCases-GD]]</f>
        <v>0.20408163265306123</v>
      </c>
      <c r="L7" s="20">
        <v>21</v>
      </c>
      <c r="M7" s="7">
        <f>Tribunal[[#This Row],[VaxCases-GD]]/Tribunal[[#This Row],[TotalCases-GD]]</f>
        <v>6.1224489795918366E-2</v>
      </c>
      <c r="N7" s="20">
        <v>1</v>
      </c>
      <c r="O7" s="20">
        <v>300</v>
      </c>
      <c r="P7" s="20">
        <v>87</v>
      </c>
      <c r="Q7" s="20">
        <v>72</v>
      </c>
      <c r="R7" s="20">
        <v>14</v>
      </c>
      <c r="S7" s="21">
        <v>19</v>
      </c>
      <c r="T7" s="13">
        <f>SUM(Tribunal[[#This Row],[GrantedLeave-AD]:[OtherResults-AD]])</f>
        <v>493</v>
      </c>
      <c r="U7" s="5">
        <f>Tribunal[[#This Row],[GrantedLeave-AD]]/Tribunal[[#This Row],[RefusedLeave-AD]]</f>
        <v>3.3333333333333335E-3</v>
      </c>
      <c r="V7" s="14">
        <f>Tribunal[[#This Row],[AllowedAppeals-AD]]/Tribunal[[#This Row],[TotalCases-AD]]</f>
        <v>0.17647058823529413</v>
      </c>
      <c r="W7" s="22">
        <v>47</v>
      </c>
      <c r="X7" s="5">
        <f>Tribunal[[#This Row],[VaxCases-AD]]/Tribunal[[#This Row],[TotalCases-AD]]</f>
        <v>9.5334685598377281E-2</v>
      </c>
    </row>
    <row r="8" spans="1:24" x14ac:dyDescent="0.3">
      <c r="A8" s="1" t="s">
        <v>1</v>
      </c>
      <c r="B8" s="2">
        <f>SUBTOTAL(109,Tribunal[TotalCases-SST])</f>
        <v>5931</v>
      </c>
      <c r="C8" s="4">
        <f>SUBTOTAL(109,Tribunal[VaxCases-SST])</f>
        <v>1126</v>
      </c>
      <c r="D8" s="7">
        <f>Tribunal[[#Totals],[VaxCases-SST]]/Tribunal[[#Totals],[TotalCases-SST]]</f>
        <v>0.18984994098802899</v>
      </c>
      <c r="E8">
        <f>SUBTOTAL(109,Tribunal[AllowedAppeals-GD])</f>
        <v>733</v>
      </c>
      <c r="F8">
        <f>SUBTOTAL(109,Tribunal[DismissedAppeals-GD])</f>
        <v>2289</v>
      </c>
      <c r="G8">
        <f>SUBTOTAL(109,Tribunal[PartialAppeals-GD])</f>
        <v>171</v>
      </c>
      <c r="H8">
        <f>SUBTOTAL(109,Tribunal[SummaryDismissals-GD])</f>
        <v>51</v>
      </c>
      <c r="I8">
        <f>SUBTOTAL(109,Tribunal[OtherResults-GD])</f>
        <v>66</v>
      </c>
      <c r="J8" s="4">
        <f>SUBTOTAL(109,Tribunal[TotalCases-GD])</f>
        <v>3310</v>
      </c>
      <c r="K8" s="12">
        <f>Tribunal[[#Totals],[AllowedAppeals-GD]]/Tribunal[[#Totals],[TotalCases-GD]]</f>
        <v>0.22145015105740182</v>
      </c>
      <c r="L8">
        <f>SUBTOTAL(109,Tribunal[VaxCases-GD])</f>
        <v>602</v>
      </c>
      <c r="M8" s="7">
        <f>Tribunal[[#Totals],[VaxCases-GD]]/Tribunal[[#Totals],[TotalCases-GD]]</f>
        <v>0.18187311178247734</v>
      </c>
      <c r="N8">
        <f>SUBTOTAL(109,Tribunal[GrantedLeave-AD])</f>
        <v>18</v>
      </c>
      <c r="O8">
        <f>SUBTOTAL(109,Tribunal[RefusedLeave-AD])</f>
        <v>1497</v>
      </c>
      <c r="P8">
        <f>SUBTOTAL(109,Tribunal[AllowedAppeals-AD])</f>
        <v>560</v>
      </c>
      <c r="Q8">
        <f>SUBTOTAL(109,Tribunal[DismissedAppeals-AD])</f>
        <v>371</v>
      </c>
      <c r="R8">
        <f>SUBTOTAL(109,Tribunal[PartialAppeals-AD])</f>
        <v>64</v>
      </c>
      <c r="S8" s="8">
        <f>SUBTOTAL(109,Tribunal[OtherResults-AD])</f>
        <v>111</v>
      </c>
      <c r="T8">
        <f>SUBTOTAL(109,Tribunal[TotalCases-AD])</f>
        <v>2621</v>
      </c>
      <c r="U8" s="5">
        <f>Tribunal[[#Totals],[GrantedLeave-AD]]/Tribunal[[#Totals],[RefusedLeave-AD]]</f>
        <v>1.2024048096192385E-2</v>
      </c>
      <c r="V8" s="14">
        <f>Tribunal[[#Totals],[AllowedAppeals-AD]]/Tribunal[[#Totals],[TotalCases-AD]]</f>
        <v>0.21365890881343</v>
      </c>
      <c r="W8" s="4">
        <f>SUBTOTAL(109,Tribunal[VaxCases-AD])</f>
        <v>524</v>
      </c>
      <c r="X8" s="5">
        <f>Tribunal[[#Totals],[VaxCases-AD]]/Tribunal[[#Totals],[TotalCases-AD]]</f>
        <v>0.19992369324685236</v>
      </c>
    </row>
    <row r="9" spans="1:24" x14ac:dyDescent="0.3">
      <c r="A9"/>
      <c r="J9"/>
      <c r="L9"/>
      <c r="X9"/>
    </row>
    <row r="10" spans="1:24" x14ac:dyDescent="0.3">
      <c r="A10"/>
      <c r="J10"/>
      <c r="L10"/>
      <c r="X10"/>
    </row>
    <row r="11" spans="1:24" x14ac:dyDescent="0.3">
      <c r="A11"/>
      <c r="J11"/>
      <c r="L11"/>
      <c r="X11"/>
    </row>
    <row r="12" spans="1:24" x14ac:dyDescent="0.3">
      <c r="A12"/>
      <c r="J12"/>
      <c r="L12"/>
      <c r="X12"/>
    </row>
    <row r="13" spans="1:24" x14ac:dyDescent="0.3">
      <c r="A13"/>
      <c r="J13"/>
      <c r="L13"/>
      <c r="X13"/>
    </row>
    <row r="14" spans="1:24" x14ac:dyDescent="0.3">
      <c r="A14"/>
      <c r="J14"/>
      <c r="L14"/>
      <c r="X14"/>
    </row>
    <row r="15" spans="1:24" x14ac:dyDescent="0.3">
      <c r="A15"/>
      <c r="J15"/>
      <c r="L15"/>
      <c r="X15"/>
    </row>
    <row r="16" spans="1:24" x14ac:dyDescent="0.3">
      <c r="A16"/>
      <c r="J16"/>
      <c r="L16"/>
      <c r="X16"/>
    </row>
    <row r="17" spans="4:16" customFormat="1" x14ac:dyDescent="0.3">
      <c r="D17" s="5"/>
      <c r="P17" s="5"/>
    </row>
    <row r="18" spans="4:16" customFormat="1" x14ac:dyDescent="0.3">
      <c r="D18" s="5"/>
      <c r="P18" s="5"/>
    </row>
    <row r="19" spans="4:16" customFormat="1" x14ac:dyDescent="0.3">
      <c r="D19" s="5"/>
      <c r="P19" s="5"/>
    </row>
    <row r="20" spans="4:16" customFormat="1" x14ac:dyDescent="0.3">
      <c r="D20" s="5"/>
      <c r="P20" s="5"/>
    </row>
    <row r="21" spans="4:16" customFormat="1" x14ac:dyDescent="0.3">
      <c r="D21" s="5"/>
      <c r="P21" s="5"/>
    </row>
    <row r="22" spans="4:16" customFormat="1" x14ac:dyDescent="0.3">
      <c r="D22" s="5"/>
      <c r="P22" s="5"/>
    </row>
    <row r="23" spans="4:16" customFormat="1" x14ac:dyDescent="0.3">
      <c r="D23" s="5"/>
      <c r="P23" s="5"/>
    </row>
    <row r="24" spans="4:16" customFormat="1" x14ac:dyDescent="0.3">
      <c r="D24" s="5"/>
      <c r="P24" s="5"/>
    </row>
    <row r="25" spans="4:16" customFormat="1" x14ac:dyDescent="0.3">
      <c r="D25" s="5"/>
      <c r="P25" s="5"/>
    </row>
    <row r="26" spans="4:16" customFormat="1" x14ac:dyDescent="0.3">
      <c r="D26" s="5"/>
      <c r="P26" s="5"/>
    </row>
    <row r="27" spans="4:16" customFormat="1" x14ac:dyDescent="0.3">
      <c r="D27" s="5"/>
      <c r="P27" s="5"/>
    </row>
    <row r="28" spans="4:16" customFormat="1" x14ac:dyDescent="0.3">
      <c r="D28" s="5"/>
      <c r="P28" s="5"/>
    </row>
    <row r="29" spans="4:16" customFormat="1" x14ac:dyDescent="0.3">
      <c r="D29" s="5"/>
      <c r="P29" s="5"/>
    </row>
    <row r="30" spans="4:16" customFormat="1" x14ac:dyDescent="0.3">
      <c r="D30" s="5"/>
      <c r="P30" s="5"/>
    </row>
    <row r="31" spans="4:16" customFormat="1" x14ac:dyDescent="0.3">
      <c r="D31" s="5"/>
      <c r="P31" s="5"/>
    </row>
    <row r="32" spans="4:16" customFormat="1" x14ac:dyDescent="0.3">
      <c r="D32" s="5"/>
      <c r="P32" s="5"/>
    </row>
    <row r="33" spans="4:16" customFormat="1" x14ac:dyDescent="0.3">
      <c r="D33" s="5"/>
      <c r="P33" s="5"/>
    </row>
  </sheetData>
  <sheetProtection sheet="1" objects="1" scenarios="1"/>
  <phoneticPr fontId="4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6507-51A0-4854-82CA-044416207655}">
  <dimension ref="A1:T31"/>
  <sheetViews>
    <sheetView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16" sqref="K16"/>
    </sheetView>
  </sheetViews>
  <sheetFormatPr defaultRowHeight="14.4" x14ac:dyDescent="0.3"/>
  <cols>
    <col min="1" max="1" width="8.88671875" style="1"/>
    <col min="2" max="2" width="8.44140625" customWidth="1"/>
    <col min="3" max="3" width="7.109375" customWidth="1"/>
    <col min="4" max="4" width="9.77734375" customWidth="1"/>
    <col min="5" max="6" width="7.44140625" customWidth="1"/>
    <col min="7" max="7" width="8.21875" customWidth="1"/>
    <col min="8" max="8" width="8.109375" customWidth="1"/>
    <col min="9" max="9" width="7.109375" customWidth="1"/>
    <col min="10" max="10" width="7" style="2" customWidth="1"/>
    <col min="11" max="11" width="8.5546875" style="17" customWidth="1"/>
    <col min="12" max="12" width="7" customWidth="1"/>
    <col min="13" max="13" width="7.44140625" customWidth="1"/>
    <col min="14" max="14" width="8.33203125" customWidth="1"/>
    <col min="15" max="15" width="7.5546875" customWidth="1"/>
    <col min="16" max="16" width="8.33203125" customWidth="1"/>
    <col min="17" max="17" width="7.44140625" style="5" customWidth="1"/>
    <col min="18" max="18" width="8.77734375" customWidth="1"/>
    <col min="19" max="19" width="7.6640625" customWidth="1"/>
    <col min="20" max="20" width="7.109375" customWidth="1"/>
    <col min="21" max="21" width="7.6640625" customWidth="1"/>
    <col min="22" max="22" width="9.33203125" customWidth="1"/>
    <col min="23" max="24" width="5.88671875" customWidth="1"/>
    <col min="25" max="26" width="17.6640625" customWidth="1"/>
    <col min="27" max="27" width="12.77734375" customWidth="1"/>
    <col min="28" max="28" width="14.21875" customWidth="1"/>
    <col min="29" max="29" width="10.77734375" customWidth="1"/>
    <col min="30" max="30" width="14.6640625" customWidth="1"/>
    <col min="31" max="31" width="16.21875" customWidth="1"/>
    <col min="32" max="33" width="15.88671875" customWidth="1"/>
  </cols>
  <sheetData>
    <row r="1" spans="1:20" x14ac:dyDescent="0.3">
      <c r="A1" s="1" t="s">
        <v>0</v>
      </c>
      <c r="B1" s="15" t="s">
        <v>25</v>
      </c>
      <c r="C1" t="s">
        <v>26</v>
      </c>
      <c r="D1" s="16" t="s">
        <v>9</v>
      </c>
      <c r="E1" t="s">
        <v>5</v>
      </c>
      <c r="F1" t="s">
        <v>6</v>
      </c>
      <c r="G1" t="s">
        <v>18</v>
      </c>
      <c r="H1" t="s">
        <v>3</v>
      </c>
      <c r="I1" s="9" t="s">
        <v>2</v>
      </c>
      <c r="J1" s="7" t="s">
        <v>7</v>
      </c>
      <c r="K1" s="17" t="s">
        <v>27</v>
      </c>
      <c r="L1" s="7" t="s">
        <v>17</v>
      </c>
      <c r="M1" t="s">
        <v>12</v>
      </c>
      <c r="N1" t="s">
        <v>13</v>
      </c>
      <c r="O1" s="4" t="s">
        <v>23</v>
      </c>
      <c r="P1" t="s">
        <v>24</v>
      </c>
      <c r="Q1" t="s">
        <v>21</v>
      </c>
      <c r="R1" s="4" t="s">
        <v>11</v>
      </c>
      <c r="S1" t="s">
        <v>22</v>
      </c>
      <c r="T1" t="s">
        <v>15</v>
      </c>
    </row>
    <row r="2" spans="1:20" x14ac:dyDescent="0.3">
      <c r="A2" s="11">
        <v>2021</v>
      </c>
      <c r="B2" s="15">
        <f>_xlfn.XLOOKUP(VaxCases[[#This Row],[Year]],Tribunal[Year],Tribunal[TotalCases-SST])</f>
        <v>595</v>
      </c>
      <c r="C2" s="13">
        <f>_xlfn.XLOOKUP(VaxCases[[#This Row],[Year]],Tribunal[Year],Tribunal[TotalCases-GD])</f>
        <v>405</v>
      </c>
      <c r="D2" s="16">
        <f>_xlfn.XLOOKUP(VaxCases[[#This Row],[Year]],Tribunal[Year],Tribunal[VaxRate-GD])</f>
        <v>1.4814814814814815E-2</v>
      </c>
      <c r="E2" s="23">
        <v>2</v>
      </c>
      <c r="F2" s="23">
        <v>3</v>
      </c>
      <c r="G2" s="23">
        <v>0</v>
      </c>
      <c r="H2" s="23">
        <v>1</v>
      </c>
      <c r="I2" s="9">
        <f>SUM(VaxCases[[#This Row],[AllowedAppeals-GD]:[SummaryDismissals-GD]])</f>
        <v>6</v>
      </c>
      <c r="J2" s="16">
        <f>VaxCases[[#This Row],[AllowedAppeals-GD]]/VaxCases[[#This Row],[TotalCases-GD]]</f>
        <v>0.33333333333333331</v>
      </c>
      <c r="K2" s="18">
        <f>_xlfn.XLOOKUP(VaxCases[[#This Row],[Year]],Tribunal[Year],Tribunal[TotalCases-AD])</f>
        <v>190</v>
      </c>
      <c r="L2" s="16">
        <f>_xlfn.XLOOKUP(VaxCases[[#This Row],[Year]],Tribunal[Year],Tribunal[VaxRate-AD])</f>
        <v>5.263157894736842E-3</v>
      </c>
      <c r="M2" s="23">
        <v>0</v>
      </c>
      <c r="N2" s="23">
        <v>0</v>
      </c>
      <c r="O2" s="24">
        <v>0</v>
      </c>
      <c r="P2" s="23">
        <v>1</v>
      </c>
      <c r="Q2" s="23">
        <v>0</v>
      </c>
      <c r="R2" s="9">
        <f>SUM(VaxCases[[#This Row],[GrantedLeave-AD]:[PartialAppeals-AD]])</f>
        <v>1</v>
      </c>
      <c r="S2" s="5">
        <v>0</v>
      </c>
      <c r="T2" s="14">
        <f>VaxCases[[#This Row],[AllowedAppeals-AD]]/VaxCases[[#This Row],[TotalCases-AD]]</f>
        <v>0</v>
      </c>
    </row>
    <row r="3" spans="1:20" x14ac:dyDescent="0.3">
      <c r="A3" s="11">
        <v>2022</v>
      </c>
      <c r="B3" s="15">
        <f>_xlfn.XLOOKUP(VaxCases[[#This Row],[Year]],Tribunal[Year],Tribunal[TotalCases-SST])</f>
        <v>1304</v>
      </c>
      <c r="C3" s="13">
        <f>_xlfn.XLOOKUP(VaxCases[[#This Row],[Year]],Tribunal[Year],Tribunal[TotalCases-GD])</f>
        <v>823</v>
      </c>
      <c r="D3" s="16">
        <f>_xlfn.XLOOKUP(VaxCases[[#This Row],[Year]],Tribunal[Year],Tribunal[VaxRate-GD])</f>
        <v>0.37059538274605103</v>
      </c>
      <c r="E3" s="23">
        <v>11</v>
      </c>
      <c r="F3" s="23">
        <v>260</v>
      </c>
      <c r="G3" s="23">
        <v>5</v>
      </c>
      <c r="H3" s="23">
        <v>29</v>
      </c>
      <c r="I3" s="9">
        <f>SUM(VaxCases[[#This Row],[AllowedAppeals-GD]:[SummaryDismissals-GD]])</f>
        <v>305</v>
      </c>
      <c r="J3" s="16">
        <f>VaxCases[[#This Row],[AllowedAppeals-GD]]/VaxCases[[#This Row],[TotalCases-GD]]</f>
        <v>3.6065573770491806E-2</v>
      </c>
      <c r="K3" s="18">
        <f>_xlfn.XLOOKUP(VaxCases[[#This Row],[Year]],Tribunal[Year],Tribunal[TotalCases-AD])</f>
        <v>481</v>
      </c>
      <c r="L3" s="16">
        <f>_xlfn.XLOOKUP(VaxCases[[#This Row],[Year]],Tribunal[Year],Tribunal[VaxRate-AD])</f>
        <v>0.25987525987525989</v>
      </c>
      <c r="M3" s="23">
        <v>0</v>
      </c>
      <c r="N3" s="23">
        <v>97</v>
      </c>
      <c r="O3" s="24">
        <v>13</v>
      </c>
      <c r="P3" s="23">
        <v>12</v>
      </c>
      <c r="Q3" s="23">
        <v>1</v>
      </c>
      <c r="R3" s="9">
        <f>SUM(VaxCases[[#This Row],[GrantedLeave-AD]:[PartialAppeals-AD]])</f>
        <v>123</v>
      </c>
      <c r="S3" s="5">
        <f>VaxCases[[#This Row],[GrantedLeave-AD]]/VaxCases[[#This Row],[RefusedLeave-AD]]</f>
        <v>0</v>
      </c>
      <c r="T3" s="14">
        <f>VaxCases[[#This Row],[AllowedAppeals-AD]]/VaxCases[[#This Row],[TotalCases-AD]]</f>
        <v>0.10569105691056911</v>
      </c>
    </row>
    <row r="4" spans="1:20" x14ac:dyDescent="0.3">
      <c r="A4" s="11">
        <v>2023</v>
      </c>
      <c r="B4" s="15">
        <f>_xlfn.XLOOKUP(VaxCases[[#This Row],[Year]],Tribunal[Year],Tribunal[TotalCases-SST])</f>
        <v>1496</v>
      </c>
      <c r="C4" s="13">
        <f>_xlfn.XLOOKUP(VaxCases[[#This Row],[Year]],Tribunal[Year],Tribunal[TotalCases-GD])</f>
        <v>799</v>
      </c>
      <c r="D4" s="16">
        <f>_xlfn.XLOOKUP(VaxCases[[#This Row],[Year]],Tribunal[Year],Tribunal[VaxRate-GD])</f>
        <v>0.3379224030037547</v>
      </c>
      <c r="E4" s="23">
        <v>12</v>
      </c>
      <c r="F4" s="23">
        <v>247</v>
      </c>
      <c r="G4" s="23">
        <v>6</v>
      </c>
      <c r="H4" s="23">
        <v>0</v>
      </c>
      <c r="I4" s="9">
        <f>SUM(VaxCases[[#This Row],[AllowedAppeals-GD]:[SummaryDismissals-GD]])</f>
        <v>265</v>
      </c>
      <c r="J4" s="16">
        <f>VaxCases[[#This Row],[AllowedAppeals-GD]]/VaxCases[[#This Row],[TotalCases-GD]]</f>
        <v>4.5283018867924525E-2</v>
      </c>
      <c r="K4" s="18">
        <f>_xlfn.XLOOKUP(VaxCases[[#This Row],[Year]],Tribunal[Year],Tribunal[TotalCases-AD])</f>
        <v>697</v>
      </c>
      <c r="L4" s="16">
        <f>_xlfn.XLOOKUP(VaxCases[[#This Row],[Year]],Tribunal[Year],Tribunal[VaxRate-AD])</f>
        <v>0.50358680057388805</v>
      </c>
      <c r="M4" s="23">
        <v>0</v>
      </c>
      <c r="N4" s="23">
        <v>268</v>
      </c>
      <c r="O4" s="24">
        <v>23</v>
      </c>
      <c r="P4" s="23">
        <v>47</v>
      </c>
      <c r="Q4" s="23">
        <v>7</v>
      </c>
      <c r="R4" s="9">
        <f>SUM(VaxCases[[#This Row],[GrantedLeave-AD]:[PartialAppeals-AD]])</f>
        <v>345</v>
      </c>
      <c r="S4" s="5">
        <f>VaxCases[[#This Row],[GrantedLeave-AD]]/VaxCases[[#This Row],[RefusedLeave-AD]]</f>
        <v>0</v>
      </c>
      <c r="T4" s="14">
        <f>VaxCases[[#This Row],[AllowedAppeals-AD]]/VaxCases[[#This Row],[TotalCases-AD]]</f>
        <v>6.6666666666666666E-2</v>
      </c>
    </row>
    <row r="5" spans="1:20" x14ac:dyDescent="0.3">
      <c r="A5" s="11">
        <v>2024</v>
      </c>
      <c r="B5" s="15">
        <f>_xlfn.XLOOKUP(VaxCases[[#This Row],[Year]],Tribunal[Year],Tribunal[TotalCases-SST])</f>
        <v>836</v>
      </c>
      <c r="C5" s="13">
        <f>_xlfn.XLOOKUP(VaxCases[[#This Row],[Year]],Tribunal[Year],Tribunal[TotalCases-GD])</f>
        <v>343</v>
      </c>
      <c r="D5" s="16">
        <f>_xlfn.XLOOKUP(VaxCases[[#This Row],[Year]],Tribunal[Year],Tribunal[VaxRate-GD])</f>
        <v>6.1224489795918366E-2</v>
      </c>
      <c r="E5" s="23">
        <v>4</v>
      </c>
      <c r="F5" s="23">
        <v>16</v>
      </c>
      <c r="G5" s="23">
        <v>1</v>
      </c>
      <c r="H5" s="23">
        <v>0</v>
      </c>
      <c r="I5" s="9">
        <f>SUM(VaxCases[[#This Row],[AllowedAppeals-GD]:[SummaryDismissals-GD]])</f>
        <v>21</v>
      </c>
      <c r="J5" s="16">
        <f>VaxCases[[#This Row],[AllowedAppeals-GD]]/VaxCases[[#This Row],[TotalCases-GD]]</f>
        <v>0.19047619047619047</v>
      </c>
      <c r="K5" s="25">
        <f>_xlfn.XLOOKUP(VaxCases[[#This Row],[Year]],Tribunal[Year],Tribunal[TotalCases-AD])</f>
        <v>493</v>
      </c>
      <c r="L5" s="16">
        <f>_xlfn.XLOOKUP(VaxCases[[#This Row],[Year]],Tribunal[Year],Tribunal[VaxRate-AD])</f>
        <v>9.5334685598377281E-2</v>
      </c>
      <c r="M5" s="23">
        <v>0</v>
      </c>
      <c r="N5" s="23">
        <v>28</v>
      </c>
      <c r="O5" s="24">
        <v>2</v>
      </c>
      <c r="P5" s="23">
        <v>23</v>
      </c>
      <c r="Q5" s="23">
        <v>4</v>
      </c>
      <c r="R5" s="9">
        <f>SUM(VaxCases[[#This Row],[GrantedLeave-AD]:[PartialAppeals-AD]])</f>
        <v>57</v>
      </c>
      <c r="S5" s="5">
        <f>VaxCases[[#This Row],[GrantedLeave-AD]]/VaxCases[[#This Row],[RefusedLeave-AD]]</f>
        <v>0</v>
      </c>
      <c r="T5" s="14">
        <f>VaxCases[[#This Row],[AllowedAppeals-AD]]/VaxCases[[#This Row],[TotalCases-AD]]</f>
        <v>3.5087719298245612E-2</v>
      </c>
    </row>
    <row r="6" spans="1:20" x14ac:dyDescent="0.3">
      <c r="A6" s="1" t="s">
        <v>1</v>
      </c>
      <c r="B6" s="3">
        <f>SUBTOTAL(109,VaxCases[SST-TotalCases])</f>
        <v>4231</v>
      </c>
      <c r="C6" s="2">
        <f>SUBTOTAL(109,VaxCases[GD-TotalCases])</f>
        <v>2370</v>
      </c>
      <c r="D6" s="7">
        <f>_xlfn.XLOOKUP(VaxCases[[#Totals],[Year]],Tribunal[[#Totals],[Year]],Tribunal[[#Totals],[VaxRate-GD]])</f>
        <v>0.18187311178247734</v>
      </c>
      <c r="E6">
        <f>SUBTOTAL(109,VaxCases[AllowedAppeals-GD])</f>
        <v>29</v>
      </c>
      <c r="F6">
        <f>SUBTOTAL(109,VaxCases[DismissedAppeals-GD])</f>
        <v>526</v>
      </c>
      <c r="G6">
        <f>SUBTOTAL(109,VaxCases[PartialAppeals-GD])</f>
        <v>12</v>
      </c>
      <c r="H6">
        <f>SUBTOTAL(109,VaxCases[SummaryDismissals-GD])</f>
        <v>30</v>
      </c>
      <c r="I6" s="4">
        <f>SUBTOTAL(109,VaxCases[TotalCases-GD])</f>
        <v>597</v>
      </c>
      <c r="J6" s="16">
        <f>VaxCases[[#Totals],[AllowedAppeals-GD]]/VaxCases[[#Totals],[TotalCases-GD]]</f>
        <v>4.8576214405360134E-2</v>
      </c>
      <c r="K6" s="18">
        <f>SUBTOTAL(109,VaxCases[AD-TotalCases])</f>
        <v>1861</v>
      </c>
      <c r="L6" s="16">
        <f>_xlfn.XLOOKUP(VaxCases[[#Totals],[Year]],Tribunal[[#Totals],[Year]],Tribunal[[#Totals],[VaxRate-AD]])</f>
        <v>0.19992369324685236</v>
      </c>
      <c r="M6">
        <f>SUBTOTAL(109,VaxCases[GrantedLeave-AD])</f>
        <v>0</v>
      </c>
      <c r="N6">
        <f>SUBTOTAL(109,VaxCases[RefusedLeave-AD])</f>
        <v>393</v>
      </c>
      <c r="O6" s="4">
        <f>SUBTOTAL(109,VaxCases[AllowedAppeals-AD])</f>
        <v>38</v>
      </c>
      <c r="P6">
        <f>SUBTOTAL(109,VaxCases[DismissedAppeals-AD])</f>
        <v>83</v>
      </c>
      <c r="Q6">
        <f>SUBTOTAL(109,VaxCases[PartialAppeals-AD])</f>
        <v>12</v>
      </c>
      <c r="R6" s="4">
        <f>SUBTOTAL(109,VaxCases[TotalCases-AD])</f>
        <v>526</v>
      </c>
      <c r="S6" s="5">
        <f>VaxCases[[#Totals],[GrantedLeave-AD]]/VaxCases[[#Totals],[RefusedLeave-AD]]</f>
        <v>0</v>
      </c>
      <c r="T6" s="14">
        <f>VaxCases[[#Totals],[AllowedAppeals-AD]]/VaxCases[[#Totals],[TotalCases-AD]]</f>
        <v>7.2243346007604556E-2</v>
      </c>
    </row>
    <row r="7" spans="1:20" x14ac:dyDescent="0.3">
      <c r="A7"/>
      <c r="J7"/>
    </row>
    <row r="8" spans="1:20" x14ac:dyDescent="0.3">
      <c r="A8"/>
      <c r="J8"/>
    </row>
    <row r="9" spans="1:20" x14ac:dyDescent="0.3">
      <c r="A9"/>
      <c r="J9"/>
    </row>
    <row r="10" spans="1:20" x14ac:dyDescent="0.3">
      <c r="A10"/>
      <c r="J10"/>
    </row>
    <row r="11" spans="1:20" x14ac:dyDescent="0.3">
      <c r="A11"/>
      <c r="J11"/>
    </row>
    <row r="12" spans="1:20" x14ac:dyDescent="0.3">
      <c r="A12"/>
      <c r="J12"/>
    </row>
    <row r="13" spans="1:20" x14ac:dyDescent="0.3">
      <c r="A13"/>
      <c r="J13"/>
    </row>
    <row r="14" spans="1:20" x14ac:dyDescent="0.3">
      <c r="A14"/>
      <c r="J14"/>
    </row>
    <row r="15" spans="1:20" x14ac:dyDescent="0.3">
      <c r="A15"/>
      <c r="J15"/>
    </row>
    <row r="16" spans="1:20" x14ac:dyDescent="0.3">
      <c r="A16"/>
      <c r="J16"/>
    </row>
    <row r="17" spans="1:10" x14ac:dyDescent="0.3">
      <c r="A17"/>
      <c r="J17"/>
    </row>
    <row r="18" spans="1:10" x14ac:dyDescent="0.3">
      <c r="A18"/>
      <c r="J18"/>
    </row>
    <row r="19" spans="1:10" x14ac:dyDescent="0.3">
      <c r="A19"/>
      <c r="J19"/>
    </row>
    <row r="20" spans="1:10" x14ac:dyDescent="0.3">
      <c r="A20"/>
      <c r="J20"/>
    </row>
    <row r="21" spans="1:10" x14ac:dyDescent="0.3">
      <c r="A21"/>
      <c r="J21"/>
    </row>
    <row r="22" spans="1:10" x14ac:dyDescent="0.3">
      <c r="A22"/>
      <c r="J22"/>
    </row>
    <row r="23" spans="1:10" x14ac:dyDescent="0.3">
      <c r="A23"/>
      <c r="J23"/>
    </row>
    <row r="24" spans="1:10" x14ac:dyDescent="0.3">
      <c r="A24"/>
      <c r="J24"/>
    </row>
    <row r="25" spans="1:10" x14ac:dyDescent="0.3">
      <c r="A25"/>
      <c r="J25"/>
    </row>
    <row r="26" spans="1:10" x14ac:dyDescent="0.3">
      <c r="A26"/>
      <c r="J26"/>
    </row>
    <row r="27" spans="1:10" x14ac:dyDescent="0.3">
      <c r="A27"/>
      <c r="J27"/>
    </row>
    <row r="28" spans="1:10" x14ac:dyDescent="0.3">
      <c r="A28"/>
      <c r="J28"/>
    </row>
    <row r="29" spans="1:10" x14ac:dyDescent="0.3">
      <c r="A29"/>
      <c r="J29"/>
    </row>
    <row r="30" spans="1:10" x14ac:dyDescent="0.3">
      <c r="A30"/>
      <c r="J30"/>
    </row>
    <row r="31" spans="1:10" x14ac:dyDescent="0.3">
      <c r="A31"/>
      <c r="J31"/>
    </row>
  </sheetData>
  <sheetProtection sheet="1" objects="1" scenarios="1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9C600-D4F1-41DE-A1ED-1C2F2FACE7B5}">
  <dimension ref="A1:S4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M18" sqref="M18"/>
    </sheetView>
  </sheetViews>
  <sheetFormatPr defaultRowHeight="14.4" x14ac:dyDescent="0.3"/>
  <cols>
    <col min="1" max="2" width="18.21875" customWidth="1"/>
    <col min="4" max="4" width="10.109375" customWidth="1"/>
    <col min="5" max="5" width="8.88671875" style="5"/>
    <col min="8" max="8" width="8.88671875" style="5"/>
    <col min="9" max="10" width="8.88671875" style="17"/>
    <col min="11" max="11" width="8.88671875" style="5"/>
    <col min="12" max="12" width="7.5546875" customWidth="1"/>
    <col min="13" max="13" width="7.44140625" customWidth="1"/>
    <col min="14" max="14" width="7.77734375" customWidth="1"/>
    <col min="15" max="15" width="7.21875" customWidth="1"/>
    <col min="16" max="16" width="8.6640625" customWidth="1"/>
    <col min="17" max="17" width="8.33203125" customWidth="1"/>
    <col min="18" max="18" width="7.109375" style="5" customWidth="1"/>
    <col min="19" max="19" width="7.5546875" customWidth="1"/>
    <col min="20" max="20" width="7.6640625" customWidth="1"/>
    <col min="21" max="21" width="7.109375" customWidth="1"/>
    <col min="22" max="22" width="7.6640625" customWidth="1"/>
    <col min="23" max="23" width="9.33203125" customWidth="1"/>
    <col min="24" max="25" width="5.88671875" customWidth="1"/>
    <col min="26" max="27" width="17.6640625" customWidth="1"/>
    <col min="28" max="28" width="12.77734375" customWidth="1"/>
    <col min="29" max="29" width="14.21875" customWidth="1"/>
    <col min="30" max="30" width="10.77734375" customWidth="1"/>
    <col min="31" max="31" width="14.6640625" customWidth="1"/>
    <col min="32" max="32" width="16.21875" customWidth="1"/>
    <col min="33" max="34" width="15.88671875" customWidth="1"/>
  </cols>
  <sheetData>
    <row r="1" spans="1:19" x14ac:dyDescent="0.3">
      <c r="A1" s="8" t="s">
        <v>28</v>
      </c>
      <c r="B1" s="3" t="s">
        <v>36</v>
      </c>
      <c r="C1" s="1" t="s">
        <v>30</v>
      </c>
      <c r="D1" s="1" t="s">
        <v>32</v>
      </c>
      <c r="E1" s="7" t="s">
        <v>33</v>
      </c>
      <c r="F1" s="1" t="s">
        <v>31</v>
      </c>
      <c r="G1" s="1" t="s">
        <v>34</v>
      </c>
      <c r="H1" s="7" t="s">
        <v>35</v>
      </c>
      <c r="I1" s="17" t="s">
        <v>49</v>
      </c>
      <c r="J1" s="17" t="s">
        <v>48</v>
      </c>
      <c r="K1" s="7" t="s">
        <v>50</v>
      </c>
      <c r="L1" t="s">
        <v>38</v>
      </c>
      <c r="M1" t="s">
        <v>39</v>
      </c>
      <c r="N1" t="s">
        <v>43</v>
      </c>
      <c r="O1" s="4" t="s">
        <v>40</v>
      </c>
      <c r="P1" t="s">
        <v>41</v>
      </c>
      <c r="Q1" t="s">
        <v>42</v>
      </c>
      <c r="R1" s="4" t="s">
        <v>45</v>
      </c>
      <c r="S1" t="s">
        <v>44</v>
      </c>
    </row>
    <row r="2" spans="1:19" x14ac:dyDescent="0.3">
      <c r="A2" s="19" t="s">
        <v>46</v>
      </c>
      <c r="B2" s="15" t="s">
        <v>47</v>
      </c>
      <c r="C2" s="26">
        <v>7</v>
      </c>
      <c r="D2" s="27">
        <v>6</v>
      </c>
      <c r="E2" s="16">
        <f>Members[[#This Row],[2022-VaxCases]]/Members[[#This Row],[2022-Cases]]</f>
        <v>0.8571428571428571</v>
      </c>
      <c r="F2" s="28">
        <v>27</v>
      </c>
      <c r="G2" s="27">
        <v>14</v>
      </c>
      <c r="H2" s="16">
        <f>Members[[#This Row],[2023-VaxCases]]/Members[[#This Row],[2023-Cases]]</f>
        <v>0.51851851851851849</v>
      </c>
      <c r="I2" s="29">
        <v>0.45</v>
      </c>
      <c r="J2" s="30">
        <v>0.03</v>
      </c>
      <c r="K2" s="16">
        <f>Members[[#This Row],[2024-VaxCases]]/Members[[#This Row],[2024-Cases]]</f>
        <v>6.6666666666666666E-2</v>
      </c>
      <c r="L2" s="23">
        <v>0</v>
      </c>
      <c r="M2" s="23">
        <v>0</v>
      </c>
      <c r="N2" s="5">
        <f>IF(Members[[#This Row],[RefusedLeave]]&gt;0,Members[[#This Row],[GrantedLeave]]/Members[[#This Row],[RefusedLeave]],0)</f>
        <v>0</v>
      </c>
      <c r="O2" s="24">
        <v>1</v>
      </c>
      <c r="P2" s="23">
        <v>22</v>
      </c>
      <c r="Q2" s="23">
        <v>0</v>
      </c>
      <c r="R2" s="9">
        <f>SUM(Members[[#This Row],[AllowedAppeals]:[PartialAppeals]])</f>
        <v>23</v>
      </c>
      <c r="S2" s="14">
        <f>Members[[#This Row],[AllowedAppeals]]/Members[[#This Row],[TotalAppeals]]</f>
        <v>4.3478260869565216E-2</v>
      </c>
    </row>
    <row r="3" spans="1:19" x14ac:dyDescent="0.3">
      <c r="A3" s="19" t="s">
        <v>29</v>
      </c>
      <c r="B3" s="15" t="s">
        <v>37</v>
      </c>
      <c r="C3" s="26">
        <v>162</v>
      </c>
      <c r="D3" s="27">
        <v>80</v>
      </c>
      <c r="E3" s="16">
        <f>Members[[#This Row],[2022-VaxCases]]/Members[[#This Row],[2022-Cases]]</f>
        <v>0.49382716049382713</v>
      </c>
      <c r="F3" s="28">
        <v>246</v>
      </c>
      <c r="G3" s="27">
        <v>128</v>
      </c>
      <c r="H3" s="16">
        <f>Members[[#This Row],[2023-VaxCases]]/Members[[#This Row],[2023-Cases]]</f>
        <v>0.52032520325203258</v>
      </c>
      <c r="I3" s="29">
        <v>99</v>
      </c>
      <c r="J3" s="30">
        <v>9</v>
      </c>
      <c r="K3" s="16">
        <f>Members[[#This Row],[2024-VaxCases]]/Members[[#This Row],[2024-Cases]]</f>
        <v>9.0909090909090912E-2</v>
      </c>
      <c r="L3" s="23">
        <v>0</v>
      </c>
      <c r="M3" s="23">
        <v>160</v>
      </c>
      <c r="N3" s="5">
        <f>IF(Members[[#This Row],[RefusedLeave]]&gt;0,Members[[#This Row],[GrantedLeave]]/Members[[#This Row],[RefusedLeave]],0)</f>
        <v>0</v>
      </c>
      <c r="O3" s="24">
        <v>8</v>
      </c>
      <c r="P3" s="23">
        <v>15</v>
      </c>
      <c r="Q3" s="23">
        <v>1</v>
      </c>
      <c r="R3" s="9">
        <f>SUM(Members[[#This Row],[AllowedAppeals]:[PartialAppeals]])</f>
        <v>24</v>
      </c>
      <c r="S3" s="14">
        <f>Members[[#This Row],[AllowedAppeals]]/Members[[#This Row],[TotalAppeals]]</f>
        <v>0.33333333333333331</v>
      </c>
    </row>
    <row r="4" spans="1:19" x14ac:dyDescent="0.3">
      <c r="A4" s="8">
        <f>SUBTOTAL(103,Members[Member])</f>
        <v>2</v>
      </c>
      <c r="B4" s="3"/>
      <c r="C4" s="2">
        <f>SUBTOTAL(109,Members[2022-Cases])</f>
        <v>169</v>
      </c>
      <c r="D4" s="8">
        <f>SUBTOTAL(109,Members[2022-VaxCases])</f>
        <v>86</v>
      </c>
      <c r="E4" s="7">
        <f>Members[[#Totals],[2022-VaxCases]]/Members[[#Totals],[2022-Cases]]</f>
        <v>0.50887573964497046</v>
      </c>
      <c r="F4">
        <f>SUBTOTAL(109,Members[2023-Cases])</f>
        <v>273</v>
      </c>
      <c r="G4" s="8">
        <f>SUBTOTAL(109,Members[2023-VaxCases])</f>
        <v>142</v>
      </c>
      <c r="H4" s="7">
        <f>Members[[#Totals],[2023-VaxCases]]/Members[[#Totals],[2023-Cases]]</f>
        <v>0.52014652014652019</v>
      </c>
      <c r="I4" s="17">
        <f>SUBTOTAL(109,Members[2024-Cases])</f>
        <v>99.45</v>
      </c>
      <c r="J4" s="31">
        <f>SUBTOTAL(109,Members[2024-VaxCases])</f>
        <v>9.0299999999999994</v>
      </c>
      <c r="K4" s="7">
        <f>Members[[#Totals],[2024-VaxCases]]/Members[[#Totals],[2024-Cases]]</f>
        <v>9.079939668174962E-2</v>
      </c>
      <c r="L4">
        <f>SUBTOTAL(109,Members[GrantedLeave])</f>
        <v>0</v>
      </c>
      <c r="M4">
        <f>SUBTOTAL(109,Members[RefusedLeave])</f>
        <v>160</v>
      </c>
      <c r="N4" s="5">
        <f>Members[[#Totals],[GrantedLeave]]/Members[[#Totals],[RefusedLeave]]</f>
        <v>0</v>
      </c>
      <c r="O4" s="4">
        <f>SUBTOTAL(109,Members[AllowedAppeals])</f>
        <v>9</v>
      </c>
      <c r="P4">
        <f>SUBTOTAL(109,Members[DismissedAppeals])</f>
        <v>37</v>
      </c>
      <c r="Q4">
        <f>SUBTOTAL(109,Members[PartialAppeals])</f>
        <v>1</v>
      </c>
      <c r="R4" s="4">
        <f>SUBTOTAL(109,Members[TotalAppeals])</f>
        <v>47</v>
      </c>
      <c r="S4" s="14">
        <f>Members[[#Totals],[AllowedAppeals]]/Members[[#Totals],[TotalAppeals]]</f>
        <v>0.19148936170212766</v>
      </c>
    </row>
  </sheetData>
  <sheetProtection sheet="1" objects="1" scenarios="1"/>
  <phoneticPr fontId="4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Tribunal</vt:lpstr>
      <vt:lpstr>VaxCases</vt:lpstr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2023-09-10T05:24:48Z</dcterms:created>
  <dcterms:modified xsi:type="dcterms:W3CDTF">2025-09-02T18:16:47Z</dcterms:modified>
</cp:coreProperties>
</file>